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D498DE04-B8E8-422B-AE50-A30CC0217D4E}" xr6:coauthVersionLast="47" xr6:coauthVersionMax="47" xr10:uidLastSave="{00000000-0000-0000-0000-000000000000}"/>
  <bookViews>
    <workbookView xWindow="28680" yWindow="-120" windowWidth="29040" windowHeight="15840" tabRatio="882" firstSheet="1" activeTab="1"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3" i="22" l="1"/>
  <c r="C130" i="22"/>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<sst xmlns="http://schemas.openxmlformats.org/spreadsheetml/2006/main" count="2679" uniqueCount="1124">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</sst>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6">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271.47431449515813</c:v>
                </c:pt>
                <c:pt idx="3">
                  <c:v>0</c:v>
                </c:pt>
                <c:pt idx="4">
                  <c:v>0</c:v>
                </c:pt>
                <c:pt idx="5">
                  <c:v>0</c:v>
                </c:pt>
                <c:pt idx="6">
                  <c:v>0</c:v>
                </c:pt>
                <c:pt idx="7">
                  <c:v>3630.3498525901182</c:v>
                </c:pt>
                <c:pt idx="8">
                  <c:v>100.55830767966967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2164.8558753351899</c:v>
                </c:pt>
                <c:pt idx="3">
                  <c:v>0</c:v>
                </c:pt>
                <c:pt idx="4">
                  <c:v>0</c:v>
                </c:pt>
                <c:pt idx="5">
                  <c:v>0</c:v>
                </c:pt>
                <c:pt idx="6">
                  <c:v>0</c:v>
                </c:pt>
                <c:pt idx="7">
                  <c:v>3655.1889556625174</c:v>
                </c:pt>
                <c:pt idx="8">
                  <c:v>307.2630963209827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240.75905207619368</c:v>
                </c:pt>
                <c:pt idx="8">
                  <c:v>38.264251791504655</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242.40634204905041</c:v>
                </c:pt>
                <c:pt idx="8" formatCode="0">
                  <c:v>116.91915621050606</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464.76873831463683</c:v>
                </c:pt>
                <c:pt idx="8">
                  <c:v>92.656770833333354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-96.449567094157345</c:v>
                </c:pt>
                <c:pt idx="1">
                  <c:v>-337.89683763153607</c:v>
                </c:pt>
                <c:pt idx="2">
                  <c:v>-490.60411736689809</c:v>
                </c:pt>
                <c:pt idx="3">
                  <c:v>-478.54209958872519</c:v>
                </c:pt>
                <c:pt idx="4">
                  <c:v>-466.27893977241047</c:v>
                </c:pt>
                <c:pt idx="5">
                  <c:v>-453.8136925503747</c:v>
                </c:pt>
                <c:pt idx="6">
                  <c:v>-441.14540811181098</c:v>
                </c:pt>
                <c:pt idx="7">
                  <c:v>-428.2731321818016</c:v>
                </c:pt>
                <c:pt idx="8">
                  <c:v>-415.19590600033678</c:v>
                </c:pt>
                <c:pt idx="9">
                  <c:v>-401.91276630123468</c:v>
                </c:pt>
                <c:pt idx="10">
                  <c:v>-388.42274529096238</c:v>
                </c:pt>
                <c:pt idx="11">
                  <c:v>-374.72487062735746</c:v>
                </c:pt>
                <c:pt idx="12">
                  <c:v>-360.81816539824916</c:v>
                </c:pt>
                <c:pt idx="13">
                  <c:v>-346.70164809997965</c:v>
                </c:pt>
                <c:pt idx="14">
                  <c:v>-332.3743326158239</c:v>
                </c:pt>
                <c:pt idx="15">
                  <c:v>-317.83522819430823</c:v>
                </c:pt>
                <c:pt idx="16">
                  <c:v>-303.08333942742706</c:v>
                </c:pt>
                <c:pt idx="17">
                  <c:v>-288.11766622875712</c:v>
                </c:pt>
                <c:pt idx="18">
                  <c:v>-272.93720381146903</c:v>
                </c:pt>
                <c:pt idx="19">
                  <c:v>-257.54094266623531</c:v>
                </c:pt>
                <c:pt idx="20">
                  <c:v>-241.92786853903462</c:v>
                </c:pt>
                <c:pt idx="21">
                  <c:v>-226.09696240885168</c:v>
                </c:pt>
                <c:pt idx="22">
                  <c:v>-210.04720046527248</c:v>
                </c:pt>
                <c:pt idx="23">
                  <c:v>-193.77755408597406</c:v>
                </c:pt>
                <c:pt idx="24">
                  <c:v>-177.28698981410855</c:v>
                </c:pt>
                <c:pt idx="25">
                  <c:v>-160.57446933558089</c:v>
                </c:pt>
                <c:pt idx="26">
                  <c:v>-143.63894945621976</c:v>
                </c:pt>
                <c:pt idx="27">
                  <c:v>-126.47938207884124</c:v>
                </c:pt>
                <c:pt idx="28">
                  <c:v>-109.09471418020466</c:v>
                </c:pt>
                <c:pt idx="29">
                  <c:v>-91.48388778786007</c:v>
                </c:pt>
                <c:pt idx="30">
                  <c:v>-73.645839956887073</c:v>
                </c:pt>
                <c:pt idx="31">
                  <c:v>-55.579502746524113</c:v>
                </c:pt>
                <c:pt idx="32">
                  <c:v>-37.283803196688055</c:v>
                </c:pt>
                <c:pt idx="33">
                  <c:v>-18.757663304383378</c:v>
                </c:pt>
                <c:pt idx="34">
                  <c:v>-4.6895820560166612E-13</c:v>
                </c:pt>
                <c:pt idx="35">
                  <c:v>18.990274876497438</c:v>
                </c:pt>
                <c:pt idx="36">
                  <c:v>38.21425459949927</c:v>
                </c:pt>
                <c:pt idx="37">
                  <c:v>57.673037581783603</c:v>
                </c:pt>
                <c:pt idx="38">
                  <c:v>77.367727398669061</c:v>
                </c:pt>
                <c:pt idx="39">
                  <c:v>97.299432812278269</c:v>
                </c:pt>
                <c:pt idx="40">
                  <c:v>117.46926779591584</c:v>
                </c:pt>
                <c:pt idx="41">
                  <c:v>137.87835155856092</c:v>
                </c:pt>
                <c:pt idx="42">
                  <c:v>158.52780856947481</c:v>
                </c:pt>
                <c:pt idx="43">
                  <c:v>179.4187685829244</c:v>
                </c:pt>
                <c:pt idx="44">
                  <c:v>200.55236666302159</c:v>
                </c:pt>
                <c:pt idx="45">
                  <c:v>221.92974320867964</c:v>
                </c:pt>
                <c:pt idx="46">
                  <c:v>243.55204397868667</c:v>
                </c:pt>
                <c:pt idx="47">
                  <c:v>265.42042011689711</c:v>
                </c:pt>
                <c:pt idx="48">
                  <c:v>287.53602817754154</c:v>
                </c:pt>
                <c:pt idx="49">
                  <c:v>309.90003015065543</c:v>
                </c:pt>
                <c:pt idx="50">
                  <c:v>332.5135934876273</c:v>
                </c:pt>
                <c:pt idx="51">
                  <c:v>355.37789112686738</c:v>
                </c:pt>
                <c:pt idx="52">
                  <c:v>378.49410151959626</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22.050833218769885</c:v>
                </c:pt>
                <c:pt idx="1">
                  <c:v>-5.638031576304261</c:v>
                </c:pt>
                <c:pt idx="2">
                  <c:v>-15.088921959415798</c:v>
                </c:pt>
                <c:pt idx="3">
                  <c:v>-44.217840447920892</c:v>
                </c:pt>
                <c:pt idx="4">
                  <c:v>-71.878673525592319</c:v>
                </c:pt>
                <c:pt idx="5">
                  <c:v>-98.070279595879612</c:v>
                </c:pt>
                <c:pt idx="6">
                  <c:v>-122.79151169672855</c:v>
                </c:pt>
                <c:pt idx="7">
                  <c:v>-146.0412174753632</c:v>
                </c:pt>
                <c:pt idx="8">
                  <c:v>-167.81823916294965</c:v>
                </c:pt>
                <c:pt idx="9">
                  <c:v>-188.12141354914041</c:v>
                </c:pt>
                <c:pt idx="10">
                  <c:v>-206.9495719564994</c:v>
                </c:pt>
                <c:pt idx="11">
                  <c:v>-224.30154021480658</c:v>
                </c:pt>
                <c:pt idx="12">
                  <c:v>-240.17613863524184</c:v>
                </c:pt>
                <c:pt idx="13">
                  <c:v>-254.57218198444772</c:v>
                </c:pt>
                <c:pt idx="14">
                  <c:v>-267.48847945846984</c:v>
                </c:pt>
                <c:pt idx="15">
                  <c:v>-278.92383465657531</c:v>
                </c:pt>
                <c:pt idx="16">
                  <c:v>-288.87704555494781</c:v>
                </c:pt>
                <c:pt idx="17">
                  <c:v>-297.34690448025901</c:v>
                </c:pt>
                <c:pt idx="18">
                  <c:v>-304.33219808311605</c:v>
                </c:pt>
                <c:pt idx="19">
                  <c:v>-309.83170731138381</c:v>
                </c:pt>
                <c:pt idx="20">
                  <c:v>-313.84420738338224</c:v>
                </c:pt>
                <c:pt idx="21">
                  <c:v>-316.36846776095729</c:v>
                </c:pt>
                <c:pt idx="22">
                  <c:v>-317.40325212242561</c:v>
                </c:pt>
                <c:pt idx="23">
                  <c:v>-292.44346778022776</c:v>
                </c:pt>
                <c:pt idx="24">
                  <c:v>-267.2169098468687</c:v>
                </c:pt>
                <c:pt idx="25">
                  <c:v>-241.72232448646997</c:v>
                </c:pt>
                <c:pt idx="26">
                  <c:v>-215.95845197012449</c:v>
                </c:pt>
                <c:pt idx="27">
                  <c:v>-189.92402664819926</c:v>
                </c:pt>
                <c:pt idx="28">
                  <c:v>-163.61777692250811</c:v>
                </c:pt>
                <c:pt idx="29">
                  <c:v>-137.03842521835335</c:v>
                </c:pt>
                <c:pt idx="30">
                  <c:v>-110.18468795643616</c:v>
                </c:pt>
                <c:pt idx="31">
                  <c:v>-83.055275524635064</c:v>
                </c:pt>
                <c:pt idx="32">
                  <c:v>-55.648892249651617</c:v>
                </c:pt>
                <c:pt idx="33">
                  <c:v>-27.964236368522855</c:v>
                </c:pt>
                <c:pt idx="34">
                  <c:v>9.5923269327613525E-14</c:v>
                </c:pt>
                <c:pt idx="35">
                  <c:v>28.245130884207988</c:v>
                </c:pt>
                <c:pt idx="36">
                  <c:v>56.772476488324557</c:v>
                </c:pt>
                <c:pt idx="37">
                  <c:v>85.583363221533375</c:v>
                </c:pt>
                <c:pt idx="38">
                  <c:v>114.67912372714116</c:v>
                </c:pt>
                <c:pt idx="39">
                  <c:v>144.0610969118782</c:v>
                </c:pt>
                <c:pt idx="40">
                  <c:v>173.73062797533635</c:v>
                </c:pt>
                <c:pt idx="41">
                  <c:v>203.68906843954565</c:v>
                </c:pt>
                <c:pt idx="42">
                  <c:v>233.93777617868963</c:v>
                </c:pt>
                <c:pt idx="43">
                  <c:v>264.47811544896047</c:v>
                </c:pt>
                <c:pt idx="44">
                  <c:v>295.31145691855448</c:v>
                </c:pt>
                <c:pt idx="45">
                  <c:v>326.43917769780847</c:v>
                </c:pt>
                <c:pt idx="46">
                  <c:v>357.86266136947785</c:v>
                </c:pt>
                <c:pt idx="47">
                  <c:v>389.58329801915698</c:v>
                </c:pt>
                <c:pt idx="48">
                  <c:v>421.60248426584246</c:v>
                </c:pt>
                <c:pt idx="49">
                  <c:v>453.92162329264028</c:v>
                </c:pt>
                <c:pt idx="50">
                  <c:v>486.54212487761691</c:v>
                </c:pt>
                <c:pt idx="51">
                  <c:v>519.46540542479579</c:v>
                </c:pt>
                <c:pt idx="52">
                  <c:v>552.69288799529932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-105.84375492912827</c:v>
                </c:pt>
                <c:pt idx="1">
                  <c:v>-370.80798961684764</c:v>
                </c:pt>
                <c:pt idx="2">
                  <c:v>-538.38895839843394</c:v>
                </c:pt>
                <c:pt idx="3">
                  <c:v>-525.152100088667</c:v>
                </c:pt>
                <c:pt idx="4">
                  <c:v>-511.69450850624327</c:v>
                </c:pt>
                <c:pt idx="5">
                  <c:v>-498.01514620478122</c:v>
                </c:pt>
                <c:pt idx="6">
                  <c:v>-484.11297086190137</c:v>
                </c:pt>
                <c:pt idx="7">
                  <c:v>-469.9869352563091</c:v>
                </c:pt>
                <c:pt idx="8">
                  <c:v>-455.63598724476958</c:v>
                </c:pt>
                <c:pt idx="9">
                  <c:v>-441.05906973897493</c:v>
                </c:pt>
                <c:pt idx="10">
                  <c:v>-426.25512068230211</c:v>
                </c:pt>
                <c:pt idx="11">
                  <c:v>-411.22307302646203</c:v>
                </c:pt>
                <c:pt idx="12">
                  <c:v>-395.96185470803857</c:v>
                </c:pt>
                <c:pt idx="13">
                  <c:v>-380.47038862491763</c:v>
                </c:pt>
                <c:pt idx="14">
                  <c:v>-364.7475926126051</c:v>
                </c:pt>
                <c:pt idx="15">
                  <c:v>-348.7923794204338</c:v>
                </c:pt>
                <c:pt idx="16">
                  <c:v>-332.60365668765837</c:v>
                </c:pt>
                <c:pt idx="17">
                  <c:v>-316.18032691943802</c:v>
                </c:pt>
                <c:pt idx="18">
                  <c:v>-299.52128746270608</c:v>
                </c:pt>
                <c:pt idx="19">
                  <c:v>-282.62543048192663</c:v>
                </c:pt>
                <c:pt idx="20">
                  <c:v>-265.4916429347366</c:v>
                </c:pt>
                <c:pt idx="21">
                  <c:v>-248.11880654747387</c:v>
                </c:pt>
                <c:pt idx="22">
                  <c:v>-230.50579779059007</c:v>
                </c:pt>
                <c:pt idx="23">
                  <c:v>-212.651487853948</c:v>
                </c:pt>
                <c:pt idx="24">
                  <c:v>-194.55474262200281</c:v>
                </c:pt>
                <c:pt idx="25">
                  <c:v>-176.21442264886656</c:v>
                </c:pt>
                <c:pt idx="26">
                  <c:v>-157.62938313325566</c:v>
                </c:pt>
                <c:pt idx="27">
                  <c:v>-138.79847389332048</c:v>
                </c:pt>
                <c:pt idx="28">
                  <c:v>-119.7205393413567</c:v>
                </c:pt>
                <c:pt idx="29">
                  <c:v>-100.39441845839775</c:v>
                </c:pt>
                <c:pt idx="30">
                  <c:v>-80.818944768687999</c:v>
                </c:pt>
                <c:pt idx="31">
                  <c:v>-60.992946314035684</c:v>
                </c:pt>
                <c:pt idx="32">
                  <c:v>-40.915245628045597</c:v>
                </c:pt>
                <c:pt idx="33">
                  <c:v>-20.584659710230444</c:v>
                </c:pt>
                <c:pt idx="34">
                  <c:v>-6.3948846218409017E-13</c:v>
                </c:pt>
                <c:pt idx="35">
                  <c:v>20.839927649468162</c:v>
                </c:pt>
                <c:pt idx="36">
                  <c:v>41.936322997490372</c:v>
                </c:pt>
                <c:pt idx="37">
                  <c:v>63.290391442249202</c:v>
                </c:pt>
                <c:pt idx="38">
                  <c:v>84.903344047299299</c:v>
                </c:pt>
                <c:pt idx="39">
                  <c:v>106.77639756819406</c:v>
                </c:pt>
                <c:pt idx="40">
                  <c:v>128.91077447923794</c:v>
                </c:pt>
                <c:pt idx="41">
                  <c:v>151.30770300036465</c:v>
                </c:pt>
                <c:pt idx="42">
                  <c:v>173.96841712414155</c:v>
                </c:pt>
                <c:pt idx="43">
                  <c:v>196.89415664290112</c:v>
                </c:pt>
                <c:pt idx="44">
                  <c:v>220.08616717599978</c:v>
                </c:pt>
                <c:pt idx="45">
                  <c:v>243.54570019720492</c:v>
                </c:pt>
                <c:pt idx="46">
                  <c:v>267.27401306221066</c:v>
                </c:pt>
                <c:pt idx="47">
                  <c:v>291.27236903628284</c:v>
                </c:pt>
                <c:pt idx="48">
                  <c:v>315.54203732203405</c:v>
                </c:pt>
                <c:pt idx="49">
                  <c:v>340.08429308732917</c:v>
                </c:pt>
                <c:pt idx="50">
                  <c:v>364.9004174933221</c:v>
                </c:pt>
                <c:pt idx="51">
                  <c:v>389.99169772262411</c:v>
                </c:pt>
                <c:pt idx="52">
                  <c:v>415.35942700760478</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23.38711371182734</c:v>
                </c:pt>
                <c:pt idx="1">
                  <c:v>-5.9796962898283006</c:v>
                </c:pt>
                <c:pt idx="2">
                  <c:v>-16.003310630156395</c:v>
                </c:pt>
                <c:pt idx="3">
                  <c:v>-46.897441579064896</c:v>
                </c:pt>
                <c:pt idx="4">
                  <c:v>-76.234521141243206</c:v>
                </c:pt>
                <c:pt idx="5">
                  <c:v>-104.01333853938991</c:v>
                </c:pt>
                <c:pt idx="6">
                  <c:v>-130.23267730555028</c:v>
                </c:pt>
                <c:pt idx="7">
                  <c:v>-154.89131525437017</c:v>
                </c:pt>
                <c:pt idx="8">
                  <c:v>-177.98802445622437</c:v>
                </c:pt>
                <c:pt idx="9">
                  <c:v>-199.52157121021827</c:v>
                </c:pt>
                <c:pt idx="10">
                  <c:v>-219.49071601706322</c:v>
                </c:pt>
                <c:pt idx="11">
                  <c:v>-237.89421355182381</c:v>
                </c:pt>
                <c:pt idx="12">
                  <c:v>-254.73081263653745</c:v>
                </c:pt>
                <c:pt idx="13">
                  <c:v>-269.99925621270518</c:v>
                </c:pt>
                <c:pt idx="14">
                  <c:v>-283.69828131365301</c:v>
                </c:pt>
                <c:pt idx="15">
                  <c:v>-295.8266190367637</c:v>
                </c:pt>
                <c:pt idx="16">
                  <c:v>-306.38299451557759</c:v>
                </c:pt>
                <c:pt idx="17">
                  <c:v>-315.36612689176269</c:v>
                </c:pt>
                <c:pt idx="18">
                  <c:v>-322.77472928695289</c:v>
                </c:pt>
                <c:pt idx="19">
                  <c:v>-328.60750877445372</c:v>
                </c:pt>
                <c:pt idx="20">
                  <c:v>-332.86316635081522</c:v>
                </c:pt>
                <c:pt idx="21">
                  <c:v>-335.54039690727132</c:v>
                </c:pt>
                <c:pt idx="22">
                  <c:v>-336.63788920104463</c:v>
                </c:pt>
                <c:pt idx="23">
                  <c:v>-310.16554192770957</c:v>
                </c:pt>
                <c:pt idx="24">
                  <c:v>-283.41025458358894</c:v>
                </c:pt>
                <c:pt idx="25">
                  <c:v>-256.37069735035004</c:v>
                </c:pt>
                <c:pt idx="26">
                  <c:v>-229.04553415951401</c:v>
                </c:pt>
                <c:pt idx="27">
                  <c:v>-201.43342266308011</c:v>
                </c:pt>
                <c:pt idx="28">
                  <c:v>-173.53301420401209</c:v>
                </c:pt>
                <c:pt idx="29">
                  <c:v>-145.34295378658555</c:v>
                </c:pt>
                <c:pt idx="30">
                  <c:v>-116.86188004659618</c:v>
                </c:pt>
                <c:pt idx="31">
                  <c:v>-88.08842522142794</c:v>
                </c:pt>
                <c:pt idx="32">
                  <c:v>-59.021215119980496</c:v>
                </c:pt>
                <c:pt idx="33">
                  <c:v>-29.658869092455333</c:v>
                </c:pt>
                <c:pt idx="34">
                  <c:v>1.0658141036401503E-13</c:v>
                </c:pt>
                <c:pt idx="35">
                  <c:v>29.956785815790997</c:v>
                </c:pt>
                <c:pt idx="36">
                  <c:v>60.212888563517026</c:v>
                </c:pt>
                <c:pt idx="37">
                  <c:v>90.769715032758299</c:v>
                </c:pt>
                <c:pt idx="38">
                  <c:v>121.62867862500592</c:v>
                </c:pt>
                <c:pt idx="39">
                  <c:v>152.79119938473801</c:v>
                </c:pt>
                <c:pt idx="40">
                  <c:v>184.25870403064172</c:v>
                </c:pt>
                <c:pt idx="41">
                  <c:v>216.03262598698211</c:v>
                </c:pt>
                <c:pt idx="42">
                  <c:v>248.11440541511823</c:v>
                </c:pt>
                <c:pt idx="43">
                  <c:v>280.5054892451675</c:v>
                </c:pt>
                <c:pt idx="44">
                  <c:v>313.20733120781892</c:v>
                </c:pt>
                <c:pt idx="45">
                  <c:v>346.22139186629573</c:v>
                </c:pt>
                <c:pt idx="46">
                  <c:v>379.54913864846827</c:v>
                </c:pt>
                <c:pt idx="47">
                  <c:v>413.19204587911793</c:v>
                </c:pt>
                <c:pt idx="48">
                  <c:v>447.15159481235258</c:v>
                </c:pt>
                <c:pt idx="49">
                  <c:v>481.42927366417433</c:v>
                </c:pt>
                <c:pt idx="50">
                  <c:v>516.02657764520052</c:v>
                </c:pt>
                <c:pt idx="51">
                  <c:v>550.94500899353852</c:v>
                </c:pt>
                <c:pt idx="52">
                  <c:v>586.18607700781456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7" t="s">
        <v>473</v>
      </c>
      <c r="D2" s="2108"/>
      <c r="E2" s="2108"/>
      <c r="F2" s="2108"/>
      <c r="G2" s="2108"/>
      <c r="H2" s="415"/>
      <c r="I2" s="2111" t="s">
        <v>962</v>
      </c>
      <c r="J2" s="2112"/>
      <c r="K2" s="2112"/>
    </row>
    <row r="3" spans="2:18" ht="10.5" customHeight="1" x14ac:dyDescent="0.25">
      <c r="B3" s="414"/>
      <c r="C3" s="413"/>
      <c r="D3" s="413"/>
      <c r="E3" s="413"/>
      <c r="F3" s="413"/>
      <c r="G3" s="413"/>
      <c r="H3" s="414"/>
      <c r="I3" s="414"/>
      <c r="J3" s="414"/>
      <c r="K3" s="414"/>
    </row>
    <row r="4" spans="2:18" ht="37.9" customHeight="1" x14ac:dyDescent="0.25">
      <c r="B4" s="416"/>
      <c r="C4" s="2109" t="s">
        <v>770</v>
      </c>
      <c r="D4" s="2110"/>
      <c r="E4" s="2110"/>
      <c r="F4" s="2110"/>
      <c r="G4" s="2110"/>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4" t="s">
        <v>497</v>
      </c>
      <c r="K6" s="2106"/>
      <c r="L6" s="2106"/>
      <c r="M6" s="2106"/>
      <c r="N6" s="2106"/>
      <c r="O6" s="2106"/>
      <c r="P6" s="2106"/>
      <c r="Q6" s="2106"/>
      <c r="R6" s="2106"/>
    </row>
    <row r="7" spans="2:18" ht="18" customHeight="1" x14ac:dyDescent="0.25">
      <c r="B7" s="73"/>
      <c r="I7" s="417"/>
      <c r="J7" s="2106"/>
      <c r="K7" s="2106"/>
      <c r="L7" s="2106"/>
      <c r="M7" s="2106"/>
      <c r="N7" s="2106"/>
      <c r="O7" s="2106"/>
      <c r="P7" s="2106"/>
      <c r="Q7" s="2106"/>
      <c r="R7" s="2106"/>
    </row>
    <row r="8" spans="2:18" ht="18" customHeight="1" x14ac:dyDescent="0.25">
      <c r="B8" s="73"/>
      <c r="I8" s="417"/>
      <c r="J8" s="77"/>
      <c r="K8" s="77"/>
      <c r="L8" s="77"/>
      <c r="M8" s="77"/>
      <c r="N8" s="77"/>
      <c r="O8" s="77"/>
      <c r="P8" s="77"/>
      <c r="Q8" s="77"/>
      <c r="R8" s="77"/>
    </row>
    <row r="9" spans="2:18" ht="22.9" customHeight="1" x14ac:dyDescent="0.25">
      <c r="B9" s="73"/>
      <c r="I9" s="112" t="s">
        <v>772</v>
      </c>
      <c r="J9" s="2104" t="s">
        <v>775</v>
      </c>
      <c r="K9" s="2106"/>
      <c r="L9" s="2106"/>
      <c r="M9" s="2106"/>
      <c r="N9" s="2106"/>
      <c r="O9" s="2106"/>
      <c r="P9" s="2106"/>
      <c r="Q9" s="2106"/>
      <c r="R9" s="2106"/>
    </row>
    <row r="10" spans="2:18" ht="22.9" customHeight="1" x14ac:dyDescent="0.25">
      <c r="B10" s="73"/>
      <c r="I10" s="417"/>
      <c r="J10" s="2106"/>
      <c r="K10" s="2106"/>
      <c r="L10" s="2106"/>
      <c r="M10" s="2106"/>
      <c r="N10" s="2106"/>
      <c r="O10" s="2106"/>
      <c r="P10" s="2106"/>
      <c r="Q10" s="2106"/>
      <c r="R10" s="2106"/>
    </row>
    <row r="11" spans="2:18" ht="22.9" customHeight="1" x14ac:dyDescent="0.25">
      <c r="I11" s="417"/>
      <c r="J11" s="2106"/>
      <c r="K11" s="2106"/>
      <c r="L11" s="2106"/>
      <c r="M11" s="2106"/>
      <c r="N11" s="2106"/>
      <c r="O11" s="2106"/>
      <c r="P11" s="2106"/>
      <c r="Q11" s="2106"/>
      <c r="R11" s="2106"/>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5" t="s">
        <v>776</v>
      </c>
      <c r="K13" s="2105"/>
      <c r="L13" s="2105"/>
      <c r="M13" s="2105"/>
      <c r="N13" s="2105"/>
      <c r="O13" s="2105"/>
      <c r="P13" s="2105"/>
      <c r="Q13" s="2105"/>
      <c r="R13" s="2105"/>
    </row>
    <row r="14" spans="2:18" ht="18" customHeight="1" x14ac:dyDescent="0.25">
      <c r="B14" s="73"/>
      <c r="C14" s="79"/>
      <c r="G14" s="80"/>
      <c r="H14" s="80"/>
      <c r="I14" s="417"/>
      <c r="J14" s="2105"/>
      <c r="K14" s="2105"/>
      <c r="L14" s="2105"/>
      <c r="M14" s="2105"/>
      <c r="N14" s="2105"/>
      <c r="O14" s="2105"/>
      <c r="P14" s="2105"/>
      <c r="Q14" s="2105"/>
      <c r="R14" s="2105"/>
    </row>
    <row r="15" spans="2:18" ht="18" customHeight="1" x14ac:dyDescent="0.25">
      <c r="B15" s="73"/>
      <c r="C15" s="79"/>
      <c r="G15" s="80"/>
      <c r="H15" s="80"/>
      <c r="I15" s="417"/>
      <c r="J15" s="2105"/>
      <c r="K15" s="2105"/>
      <c r="L15" s="2105"/>
      <c r="M15" s="2105"/>
      <c r="N15" s="2105"/>
      <c r="O15" s="2105"/>
      <c r="P15" s="2105"/>
      <c r="Q15" s="2105"/>
      <c r="R15" s="2105"/>
    </row>
    <row r="16" spans="2:18" ht="18" customHeight="1" x14ac:dyDescent="0.25">
      <c r="B16" s="73"/>
      <c r="C16" s="79"/>
      <c r="G16" s="80"/>
      <c r="H16" s="80"/>
      <c r="I16" s="417"/>
      <c r="J16" s="2105"/>
      <c r="K16" s="2105"/>
      <c r="L16" s="2105"/>
      <c r="M16" s="2105"/>
      <c r="N16" s="2105"/>
      <c r="O16" s="2105"/>
      <c r="P16" s="2105"/>
      <c r="Q16" s="2105"/>
      <c r="R16" s="2105"/>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4" t="s">
        <v>498</v>
      </c>
      <c r="K18" s="2104"/>
      <c r="L18" s="2104"/>
      <c r="M18" s="2104"/>
      <c r="N18" s="2104"/>
      <c r="O18" s="2104"/>
      <c r="P18" s="2104"/>
      <c r="Q18" s="2104"/>
      <c r="R18" s="2104"/>
    </row>
    <row r="19" spans="1:18" ht="18" customHeight="1" x14ac:dyDescent="0.25">
      <c r="B19" s="73"/>
      <c r="C19" s="80"/>
      <c r="D19" s="79"/>
      <c r="E19" s="79"/>
      <c r="F19" s="79"/>
      <c r="G19" s="79"/>
      <c r="H19" s="79"/>
      <c r="I19" s="79"/>
      <c r="J19" s="2104"/>
      <c r="K19" s="2104"/>
      <c r="L19" s="2104"/>
      <c r="M19" s="2104"/>
      <c r="N19" s="2104"/>
      <c r="O19" s="2104"/>
      <c r="P19" s="2104"/>
      <c r="Q19" s="2104"/>
      <c r="R19" s="2104"/>
    </row>
    <row r="20" spans="1:18" ht="18" customHeight="1" x14ac:dyDescent="0.25">
      <c r="B20" s="73"/>
      <c r="C20" s="79"/>
      <c r="D20" s="79"/>
      <c r="E20" s="79"/>
      <c r="F20" s="79"/>
      <c r="G20" s="79"/>
      <c r="H20" s="79"/>
      <c r="I20" s="79"/>
      <c r="J20" s="2104"/>
      <c r="K20" s="2104"/>
      <c r="L20" s="2104"/>
      <c r="M20" s="2104"/>
      <c r="N20" s="2104"/>
      <c r="O20" s="2104"/>
      <c r="P20" s="2104"/>
      <c r="Q20" s="2104"/>
      <c r="R20" s="2104"/>
    </row>
    <row r="21" spans="1:18" ht="40.15" customHeight="1" x14ac:dyDescent="0.25">
      <c r="A21" s="523"/>
      <c r="B21" s="418"/>
      <c r="C21" s="419"/>
      <c r="D21" s="419"/>
      <c r="E21" s="419"/>
      <c r="F21" s="419"/>
      <c r="G21" s="422"/>
      <c r="I21" s="79"/>
      <c r="J21" s="2104"/>
      <c r="K21" s="2104"/>
      <c r="L21" s="2104"/>
      <c r="M21" s="2104"/>
      <c r="N21" s="2104"/>
      <c r="O21" s="2104"/>
      <c r="P21" s="2104"/>
      <c r="Q21" s="2104"/>
      <c r="R21" s="2104"/>
    </row>
    <row r="22" spans="1:18" ht="34.9" customHeight="1" x14ac:dyDescent="0.25">
      <c r="B22" s="75"/>
      <c r="C22" s="75"/>
      <c r="D22" s="75"/>
      <c r="E22" s="75"/>
      <c r="F22" s="75"/>
      <c r="G22" s="75"/>
      <c r="H22" s="75"/>
      <c r="I22" s="75"/>
      <c r="J22" s="2104"/>
      <c r="K22" s="2104"/>
      <c r="L22" s="2104"/>
      <c r="M22" s="2104"/>
      <c r="N22" s="2104"/>
      <c r="O22" s="2104"/>
      <c r="P22" s="2104"/>
      <c r="Q22" s="2104"/>
      <c r="R22" s="2104"/>
    </row>
    <row r="23" spans="1:18" ht="18" customHeight="1" x14ac:dyDescent="0.25">
      <c r="B23" s="75"/>
      <c r="C23" s="207" t="s">
        <v>499</v>
      </c>
      <c r="D23" s="524" t="s">
        <v>472</v>
      </c>
      <c r="E23" s="76"/>
      <c r="F23" s="75"/>
      <c r="G23" s="75"/>
      <c r="H23" s="75"/>
      <c r="J23" s="2104"/>
      <c r="K23" s="2104"/>
      <c r="L23" s="2104"/>
      <c r="M23" s="2104"/>
      <c r="N23" s="2104"/>
      <c r="O23" s="2104"/>
      <c r="P23" s="2104"/>
      <c r="Q23" s="2104"/>
      <c r="R23" s="2104"/>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tabSelected="1" defaultGridColor="0" colorId="55" zoomScale="80" zoomScaleNormal="80" workbookViewId="0">
      <selection activeCell="C3" sqref="C3"/>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13" t="s">
        <v>1000</v>
      </c>
      <c r="E2" s="2114"/>
      <c r="F2" s="2115"/>
      <c r="G2" s="434"/>
      <c r="H2" s="2116" t="s">
        <v>5</v>
      </c>
      <c r="I2" s="2117"/>
      <c r="J2" s="2118"/>
      <c r="K2" s="434"/>
      <c r="L2" s="434"/>
      <c r="M2" s="434"/>
      <c r="N2" s="434"/>
      <c r="O2" s="983"/>
      <c r="P2" s="983" t="s">
        <v>6</v>
      </c>
      <c r="Q2" s="983"/>
      <c r="R2" s="983"/>
      <c r="S2" s="983"/>
      <c r="T2" s="983"/>
      <c r="U2" s="983"/>
      <c r="V2" s="3"/>
      <c r="W2" s="3"/>
      <c r="X2" s="3"/>
      <c r="Y2" s="3"/>
    </row>
    <row r="3" spans="1:25" ht="18" customHeight="1" x14ac:dyDescent="0.25">
      <c r="A3" s="85"/>
      <c r="B3" s="434"/>
      <c r="C3" s="531" t="s">
        <v>486</v>
      </c>
      <c r="D3" s="2113" t="s">
        <v>1001</v>
      </c>
      <c r="E3" s="2114"/>
      <c r="F3" s="2115"/>
      <c r="G3" s="434"/>
      <c r="H3" s="2119"/>
      <c r="I3" s="2120"/>
      <c r="J3" s="2121"/>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6" t="s">
        <v>473</v>
      </c>
      <c r="M4" s="2127"/>
      <c r="N4" s="2127"/>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28" t="str">
        <f>Apresentação!I2</f>
        <v>RC-RSU V.1.0 - 15/10/2020</v>
      </c>
      <c r="M5" s="2128"/>
      <c r="N5" s="2128"/>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36" t="s">
        <v>931</v>
      </c>
      <c r="D16" s="2137"/>
      <c r="E16" s="2137"/>
      <c r="F16" s="2137"/>
      <c r="G16" s="2137"/>
      <c r="H16" s="2137"/>
      <c r="I16" s="2137"/>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22" t="s">
        <v>16</v>
      </c>
      <c r="D23" s="2125" t="s">
        <v>736</v>
      </c>
      <c r="E23" s="2123"/>
      <c r="F23" s="2123"/>
      <c r="G23" s="2131" t="s">
        <v>830</v>
      </c>
      <c r="H23" s="2131" t="s">
        <v>17</v>
      </c>
      <c r="I23" s="2123"/>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23"/>
      <c r="D24" s="2124" t="s">
        <v>18</v>
      </c>
      <c r="E24" s="2124" t="s">
        <v>19</v>
      </c>
      <c r="F24" s="2124" t="s">
        <v>20</v>
      </c>
      <c r="G24" s="2123"/>
      <c r="H24" s="2123"/>
      <c r="I24" s="2123"/>
      <c r="J24" s="529"/>
      <c r="K24" s="547"/>
      <c r="L24" s="529"/>
      <c r="M24" s="529"/>
      <c r="N24" s="434"/>
      <c r="O24" s="983"/>
      <c r="P24" s="983"/>
      <c r="Q24" s="983"/>
      <c r="R24" s="983"/>
      <c r="S24" s="983"/>
      <c r="T24" s="983"/>
      <c r="U24" s="983"/>
      <c r="V24" s="3"/>
      <c r="W24" s="7"/>
      <c r="X24" s="7"/>
      <c r="Y24" s="7"/>
    </row>
    <row r="25" spans="1:25" ht="30.4" customHeight="1" x14ac:dyDescent="0.25">
      <c r="A25" s="85"/>
      <c r="B25" s="434"/>
      <c r="C25" s="2123"/>
      <c r="D25" s="2123"/>
      <c r="E25" s="2123"/>
      <c r="F25" s="2123"/>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226.4871794871795</v>
      </c>
      <c r="H26" s="2132">
        <f>E26+E27</f>
        <v>51.4</v>
      </c>
      <c r="I26" s="2134"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14.038461538461538</v>
      </c>
      <c r="H27" s="2133"/>
      <c r="I27" s="2135"/>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61.301282051282051</v>
      </c>
      <c r="H28" s="2132">
        <f>SUM(E28:E33)</f>
        <v>31.900000000000002</v>
      </c>
      <c r="I28" s="2134"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41.647435897435898</v>
      </c>
      <c r="H29" s="2133"/>
      <c r="I29" s="2135"/>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21.525641025641026</v>
      </c>
      <c r="H30" s="2133"/>
      <c r="I30" s="2135"/>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11.230769230769232</v>
      </c>
      <c r="H31" s="2133"/>
      <c r="I31" s="2135"/>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10.762820512820513</v>
      </c>
      <c r="H32" s="2133"/>
      <c r="I32" s="2135"/>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2.8076923076923079</v>
      </c>
      <c r="H33" s="2133"/>
      <c r="I33" s="2135"/>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20.823717948717949</v>
      </c>
      <c r="H34" s="2132">
        <f>SUM(E34:E37)</f>
        <v>10.14</v>
      </c>
      <c r="I34" s="2139"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4.4923076923076923</v>
      </c>
      <c r="H35" s="2133"/>
      <c r="I35" s="2135"/>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18.717948717948719</v>
      </c>
      <c r="H36" s="2133"/>
      <c r="I36" s="2135"/>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3.4160256410256409</v>
      </c>
      <c r="H37" s="2133"/>
      <c r="I37" s="2135"/>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32">
        <f>SUM(E38:E39)</f>
        <v>6.5600000000000023</v>
      </c>
      <c r="I38" s="2139"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30.697435897435909</v>
      </c>
      <c r="H39" s="2133"/>
      <c r="I39" s="2135"/>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43" t="s">
        <v>48</v>
      </c>
      <c r="D51" s="2141" t="s">
        <v>508</v>
      </c>
      <c r="E51" s="2142"/>
      <c r="F51" s="2142"/>
      <c r="G51" s="2142"/>
      <c r="H51" s="2142"/>
      <c r="I51" s="2142"/>
      <c r="J51" s="2142"/>
      <c r="K51" s="2142"/>
      <c r="L51" s="2142"/>
      <c r="M51" s="2142"/>
      <c r="N51" s="2142"/>
      <c r="O51" s="983"/>
      <c r="P51" s="983"/>
      <c r="Q51" s="983"/>
      <c r="R51" s="983"/>
      <c r="S51" s="983"/>
      <c r="T51" s="983"/>
      <c r="U51" s="983"/>
      <c r="V51" s="3"/>
      <c r="W51" s="3"/>
      <c r="X51" s="3"/>
      <c r="Y51" s="3"/>
    </row>
    <row r="52" spans="1:25" ht="18" customHeight="1" x14ac:dyDescent="0.25">
      <c r="A52" s="85"/>
      <c r="B52" s="434"/>
      <c r="C52" s="2130"/>
      <c r="D52" s="2129" t="s">
        <v>25</v>
      </c>
      <c r="E52" s="2130"/>
      <c r="F52" s="2144" t="s">
        <v>49</v>
      </c>
      <c r="G52" s="2129" t="s">
        <v>475</v>
      </c>
      <c r="H52" s="2130"/>
      <c r="I52" s="2129" t="s">
        <v>476</v>
      </c>
      <c r="J52" s="2129" t="s">
        <v>52</v>
      </c>
      <c r="K52" s="2130"/>
      <c r="L52" s="2129" t="s">
        <v>477</v>
      </c>
      <c r="M52" s="2140"/>
      <c r="N52" s="2138" t="s">
        <v>53</v>
      </c>
      <c r="O52" s="983"/>
      <c r="P52" s="983"/>
      <c r="Q52" s="983"/>
      <c r="R52" s="983"/>
      <c r="S52" s="983"/>
      <c r="T52" s="983"/>
      <c r="U52" s="983"/>
      <c r="V52" s="3"/>
      <c r="W52" s="3"/>
      <c r="X52" s="3"/>
      <c r="Y52" s="3"/>
    </row>
    <row r="53" spans="1:25" ht="31.15" customHeight="1" x14ac:dyDescent="0.25">
      <c r="A53" s="85"/>
      <c r="B53" s="434"/>
      <c r="C53" s="2130"/>
      <c r="D53" s="499" t="s">
        <v>54</v>
      </c>
      <c r="E53" s="499" t="s">
        <v>55</v>
      </c>
      <c r="F53" s="2130"/>
      <c r="G53" s="499" t="s">
        <v>56</v>
      </c>
      <c r="H53" s="499" t="s">
        <v>57</v>
      </c>
      <c r="I53" s="2130"/>
      <c r="J53" s="499" t="s">
        <v>58</v>
      </c>
      <c r="K53" s="499" t="s">
        <v>510</v>
      </c>
      <c r="L53" s="499" t="s">
        <v>478</v>
      </c>
      <c r="M53" s="500" t="s">
        <v>509</v>
      </c>
      <c r="N53" s="2130"/>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25">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45" t="str">
        <f>IF('R-Entrada'!D2&lt;&gt;0,'R-Entrada'!D2,"")</f>
        <v>CIRSOP - Consórcio RSU Oeste Paulista</v>
      </c>
      <c r="E2" s="2146"/>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45" t="str">
        <f>IF('R-Entrada'!D3&lt;&gt;0,'R-Entrada'!D3,"")</f>
        <v>Biodigestão c/ Prod. E. Elétrica</v>
      </c>
      <c r="E3" s="2146"/>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16" t="s">
        <v>737</v>
      </c>
      <c r="G5" s="2162"/>
      <c r="H5" s="2163"/>
      <c r="I5" s="434"/>
      <c r="J5" s="132"/>
      <c r="K5" s="584" t="s">
        <v>725</v>
      </c>
      <c r="L5" s="434"/>
      <c r="M5" s="434"/>
      <c r="N5" s="2126" t="s">
        <v>473</v>
      </c>
      <c r="O5" s="2171"/>
      <c r="P5" s="2171"/>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64"/>
      <c r="G6" s="2165"/>
      <c r="H6" s="2166"/>
      <c r="I6" s="532"/>
      <c r="J6" s="700"/>
      <c r="K6" s="584" t="s">
        <v>726</v>
      </c>
      <c r="L6" s="434"/>
      <c r="M6" s="434"/>
      <c r="N6" s="2128" t="str">
        <f>Apresentação!I2</f>
        <v>RC-RSU V.1.0 - 15/10/2020</v>
      </c>
      <c r="O6" s="2128"/>
      <c r="P6" s="2128"/>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72" t="s">
        <v>511</v>
      </c>
      <c r="C8" s="2172"/>
      <c r="D8" s="2172"/>
      <c r="E8" s="2172"/>
      <c r="F8" s="2172"/>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31" t="s">
        <v>48</v>
      </c>
      <c r="D10" s="2125" t="s">
        <v>508</v>
      </c>
      <c r="E10" s="2123"/>
      <c r="F10" s="2123"/>
      <c r="G10" s="2123"/>
      <c r="H10" s="2123"/>
      <c r="I10" s="2123"/>
      <c r="J10" s="2123"/>
      <c r="K10" s="2123"/>
      <c r="L10" s="2123"/>
      <c r="M10" s="2123"/>
      <c r="N10" s="2123"/>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23"/>
      <c r="D11" s="2125" t="s">
        <v>25</v>
      </c>
      <c r="E11" s="2123"/>
      <c r="F11" s="2131" t="s">
        <v>49</v>
      </c>
      <c r="G11" s="2125" t="s">
        <v>475</v>
      </c>
      <c r="H11" s="2123"/>
      <c r="I11" s="2125" t="s">
        <v>476</v>
      </c>
      <c r="J11" s="2125" t="s">
        <v>52</v>
      </c>
      <c r="K11" s="2123"/>
      <c r="L11" s="2125" t="s">
        <v>477</v>
      </c>
      <c r="M11" s="2123"/>
      <c r="N11" s="2161"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23"/>
      <c r="D12" s="503" t="s">
        <v>54</v>
      </c>
      <c r="E12" s="503" t="s">
        <v>55</v>
      </c>
      <c r="F12" s="2123"/>
      <c r="G12" s="503" t="s">
        <v>56</v>
      </c>
      <c r="H12" s="503" t="s">
        <v>57</v>
      </c>
      <c r="I12" s="2123"/>
      <c r="J12" s="503" t="s">
        <v>58</v>
      </c>
      <c r="K12" s="503" t="s">
        <v>510</v>
      </c>
      <c r="L12" s="503" t="s">
        <v>478</v>
      </c>
      <c r="M12" s="497" t="s">
        <v>509</v>
      </c>
      <c r="N12" s="2123"/>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1.9156650641025641</v>
      </c>
      <c r="M24" s="115">
        <f>IF($E$28="Sim",F$13*'R-Avançado'!$H$11/100*$E$29/$N$13,0)</f>
        <v>0</v>
      </c>
      <c r="N24" s="115">
        <f>IF($E$32="Sim",F$13*'R-Avançado'!$G$11/100*$E$33/$N$13,0)</f>
        <v>0</v>
      </c>
      <c r="O24" s="628">
        <f>IF(AND($I$25&gt;0,$I$24="Sim"),$I$27/$N$15*F$15*'R-Avançado'!$F$11/100,0)</f>
        <v>1.9156650641025641</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467.94871794871801</v>
      </c>
      <c r="J25" s="591"/>
      <c r="K25" s="625" t="s">
        <v>29</v>
      </c>
      <c r="L25" s="114">
        <f t="shared" si="1"/>
        <v>1.3014823717948718</v>
      </c>
      <c r="M25" s="115">
        <f>IF($E$28="Sim",G$13*'R-Avançado'!$H$11/100*$E$29/$N$13,0)</f>
        <v>0</v>
      </c>
      <c r="N25" s="115">
        <f>IF($E$32="Sim",G$13*'R-Avançado'!$G$11/100*$E$33/$N$13,0)</f>
        <v>0</v>
      </c>
      <c r="O25" s="628">
        <f>IF(AND($I$25&gt;0,$I$24="Sim"),$I$27/$N$15*G$15*'R-Avançado'!$F$11/100,0)</f>
        <v>1.3014823717948718</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12.5</v>
      </c>
      <c r="J26" s="2168" t="str">
        <f>IF(AND(I24="Sim",I27&lt;&gt;0,I27&lt;50),"Mín. é 50 t/d. Rever Célula I26","")</f>
        <v/>
      </c>
      <c r="K26" s="625" t="s">
        <v>78</v>
      </c>
      <c r="L26" s="114">
        <f t="shared" si="1"/>
        <v>0.67267628205128205</v>
      </c>
      <c r="M26" s="115">
        <f>IF($E$28="Sim",H$13*'R-Avançado'!$H$11/100*$E$29/$N$13,0)</f>
        <v>0</v>
      </c>
      <c r="N26" s="115">
        <f>IF($E$32="Sim",H$13*'R-Avançado'!$G$11/100*$E$33/$N$13,0)</f>
        <v>0</v>
      </c>
      <c r="O26" s="628">
        <f>IF(AND($I$25&gt;0,$I$24="Sim"),$I$27/$N$15*H$15*'R-Avançado'!$F$11/100,0)</f>
        <v>0.67267628205128205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58.493589743589752</v>
      </c>
      <c r="J27" s="2169"/>
      <c r="K27" s="625" t="s">
        <v>31</v>
      </c>
      <c r="L27" s="114">
        <f t="shared" si="1"/>
        <v>0.35096153846153849</v>
      </c>
      <c r="M27" s="115">
        <f>IF($E$28="Sim",I$13*'R-Avançado'!$H$11/100*$E$29/$N$13,0)</f>
        <v>0</v>
      </c>
      <c r="N27" s="115">
        <f>IF($E$32="Sim",I$13*'R-Avançado'!$G$11/100*$E$33/$N$13,0)</f>
        <v>0</v>
      </c>
      <c r="O27" s="628">
        <f>IF(AND($I$25&gt;0,$I$24="Sim"),$I$27/$N$15*I$15*'R-Avançado'!$F$11/100,0)</f>
        <v>0.35096153846153849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68" t="str">
        <f>IF(E29&gt;100,"Máx. é 100 t/d. Rever Célula E25","")</f>
        <v/>
      </c>
      <c r="G28" s="640"/>
      <c r="H28" s="594" t="s">
        <v>81</v>
      </c>
      <c r="I28" s="959" t="s">
        <v>64</v>
      </c>
      <c r="J28" s="530"/>
      <c r="K28" s="625" t="s">
        <v>32</v>
      </c>
      <c r="L28" s="114">
        <f t="shared" si="1"/>
        <v>0.33633814102564102</v>
      </c>
      <c r="M28" s="115">
        <f>IF($E$28="Sim",J$13*'R-Avançado'!$H$11/100*$E$29/$N$13,0)</f>
        <v>0</v>
      </c>
      <c r="N28" s="115">
        <f>IF($E$32="Sim",J$13*'R-Avançado'!$G$11/100*$E$33/$N$13,0)</f>
        <v>0</v>
      </c>
      <c r="O28" s="628">
        <f>IF(AND($I$25&gt;0,$I$24="Sim"),$I$27/$N$15*J$15*'R-Avançado'!$F$11/100,0)</f>
        <v>0.33633814102564102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69"/>
      <c r="G29" s="640"/>
      <c r="H29" s="594" t="s">
        <v>83</v>
      </c>
      <c r="I29" s="959" t="s">
        <v>64</v>
      </c>
      <c r="J29" s="530"/>
      <c r="K29" s="625" t="s">
        <v>84</v>
      </c>
      <c r="L29" s="114">
        <f t="shared" si="1"/>
        <v>8.7740384615384623E-2</v>
      </c>
      <c r="M29" s="115">
        <f>IF($E$28="Sim",K$13*'R-Avançado'!$H$11/100*$E$29/$N$13,0)</f>
        <v>0</v>
      </c>
      <c r="N29" s="115">
        <f>IF($E$32="Sim",K$13*'R-Avançado'!$G$11/100*$E$33/$N$13,0)</f>
        <v>0</v>
      </c>
      <c r="O29" s="628">
        <f>IF(AND($I$25&gt;0,$I$24="Sim"),$I$27/$N$15*K$15*'R-Avançado'!$F$11/100,0)</f>
        <v>8.7740384615384623E-2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69"/>
      <c r="G30" s="434"/>
      <c r="H30" s="434"/>
      <c r="I30" s="434"/>
      <c r="J30" s="602"/>
      <c r="K30" s="626" t="s">
        <v>513</v>
      </c>
      <c r="L30" s="116">
        <f>SUM(L24:L29)</f>
        <v>4.6648637820512828</v>
      </c>
      <c r="M30" s="199">
        <f>SUM(M24:M29)</f>
        <v>0</v>
      </c>
      <c r="N30" s="199">
        <f>SUM(N24:N29)</f>
        <v>0</v>
      </c>
      <c r="O30" s="629">
        <f>SUM(O24:O29)</f>
        <v>4.6648637820512828</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49" t="s">
        <v>85</v>
      </c>
      <c r="H31" s="2150"/>
      <c r="I31" s="2151"/>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68" t="str">
        <f>IF(AND(E24&gt;0,E33&lt;50,E33&gt;0),"Mín. é 50 t/d. Rever Célula E25","")</f>
        <v/>
      </c>
      <c r="G32" s="631"/>
      <c r="H32" s="594" t="s">
        <v>92</v>
      </c>
      <c r="I32" s="732" t="s">
        <v>89</v>
      </c>
      <c r="J32" s="434"/>
      <c r="K32" s="233" t="s">
        <v>780</v>
      </c>
      <c r="L32" s="98">
        <f>O32+O33</f>
        <v>25.555849358974363</v>
      </c>
      <c r="M32" s="644"/>
      <c r="N32" s="987" t="s">
        <v>54</v>
      </c>
      <c r="O32" s="985">
        <f>IF(AND($I$25&gt;0,$I$24="Sim"),I27/N15*D15*'R-Avançado'!E11/100,0)</f>
        <v>24.064262820512823</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69"/>
      <c r="G33" s="631"/>
      <c r="H33" s="594" t="s">
        <v>93</v>
      </c>
      <c r="I33" s="732" t="s">
        <v>89</v>
      </c>
      <c r="J33" s="434"/>
      <c r="K33" s="233" t="s">
        <v>781</v>
      </c>
      <c r="L33" s="98">
        <f>'R-Entrada'!E45</f>
        <v>0</v>
      </c>
      <c r="M33" s="645"/>
      <c r="N33" s="987" t="s">
        <v>55</v>
      </c>
      <c r="O33" s="985">
        <f>IF(AND($I$25&gt;0,$I$24="Sim"),I27/N15*E15*'R-Avançado'!E11/100,0)</f>
        <v>1.4915865384615383</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69"/>
      <c r="G34" s="641"/>
      <c r="H34" s="594" t="s">
        <v>960</v>
      </c>
      <c r="I34" s="958" t="s">
        <v>89</v>
      </c>
      <c r="J34" s="434"/>
      <c r="K34" s="642" t="s">
        <v>818</v>
      </c>
      <c r="L34" s="98">
        <f>SUM(M34:O34)</f>
        <v>22.11057692307692</v>
      </c>
      <c r="M34" s="98">
        <f>IF(E28="Sim",E29*(1-'R-Avançado'!H11/100)*0.9,0)</f>
        <v>0</v>
      </c>
      <c r="N34" s="986">
        <f>IF(E32="Sim",E33*(1-'R-Avançado'!G11/100)*0.9,0)</f>
        <v>0</v>
      </c>
      <c r="O34" s="98">
        <f>D43+E43+F43+G43+H43+L43</f>
        <v>22.11057692307692</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6.162299679487182</v>
      </c>
      <c r="M35" s="98">
        <f>IF(E28="Sim",E29*(1-'R-Avançado'!H11/100)*0.1,0)</f>
        <v>0</v>
      </c>
      <c r="N35" s="98">
        <f>IF(E32="Sim",E33*(1-'R-Avançado'!G11/100)*0.1,0)</f>
        <v>0</v>
      </c>
      <c r="O35" s="98">
        <f>M43+K43+J43+I43</f>
        <v>6.162299679487182</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29" t="s">
        <v>514</v>
      </c>
      <c r="E38" s="2130"/>
      <c r="F38" s="2130"/>
      <c r="G38" s="2130"/>
      <c r="H38" s="2130"/>
      <c r="I38" s="2130"/>
      <c r="J38" s="2130"/>
      <c r="K38" s="2130"/>
      <c r="L38" s="2130"/>
      <c r="M38" s="2130"/>
      <c r="N38" s="2130"/>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29" t="s">
        <v>25</v>
      </c>
      <c r="E39" s="2167"/>
      <c r="F39" s="2144" t="s">
        <v>49</v>
      </c>
      <c r="G39" s="2129" t="s">
        <v>475</v>
      </c>
      <c r="H39" s="2167"/>
      <c r="I39" s="2129" t="s">
        <v>51</v>
      </c>
      <c r="J39" s="2129" t="s">
        <v>52</v>
      </c>
      <c r="K39" s="2167"/>
      <c r="L39" s="2129" t="s">
        <v>477</v>
      </c>
      <c r="M39" s="2167"/>
      <c r="N39" s="2138"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70"/>
      <c r="G40" s="499" t="s">
        <v>56</v>
      </c>
      <c r="H40" s="499" t="s">
        <v>57</v>
      </c>
      <c r="I40" s="2167"/>
      <c r="J40" s="499" t="s">
        <v>58</v>
      </c>
      <c r="K40" s="499" t="s">
        <v>510</v>
      </c>
      <c r="L40" s="499" t="s">
        <v>478</v>
      </c>
      <c r="M40" s="500" t="s">
        <v>509</v>
      </c>
      <c r="N40" s="2167"/>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28.310897435897438</v>
      </c>
      <c r="E41" s="121">
        <f t="shared" si="2"/>
        <v>1.7548076923076923</v>
      </c>
      <c r="F41" s="121">
        <f t="shared" si="2"/>
        <v>7.6626602564102564</v>
      </c>
      <c r="G41" s="121">
        <f t="shared" si="2"/>
        <v>5.2059294871794872</v>
      </c>
      <c r="H41" s="121">
        <f t="shared" si="2"/>
        <v>2.6907051282051282</v>
      </c>
      <c r="I41" s="121">
        <f t="shared" si="2"/>
        <v>1.403846153846154</v>
      </c>
      <c r="J41" s="121">
        <f t="shared" si="2"/>
        <v>1.3453525641025641</v>
      </c>
      <c r="K41" s="121">
        <f t="shared" si="2"/>
        <v>0.35096153846153849</v>
      </c>
      <c r="L41" s="121">
        <f t="shared" si="2"/>
        <v>5.9312500000000004</v>
      </c>
      <c r="M41" s="121">
        <f t="shared" si="2"/>
        <v>3.8371794871794886</v>
      </c>
      <c r="N41" s="98">
        <f>SUM(D41:M41)</f>
        <v>58.493589743589752</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24.064262820512823</v>
      </c>
      <c r="E42" s="121">
        <f>O33</f>
        <v>1.4915865384615383</v>
      </c>
      <c r="F42" s="121">
        <f>O24</f>
        <v>1.9156650641025641</v>
      </c>
      <c r="G42" s="121">
        <f>O25</f>
        <v>1.3014823717948718</v>
      </c>
      <c r="H42" s="121">
        <f>O26</f>
        <v>0.67267628205128205</v>
      </c>
      <c r="I42" s="121">
        <f>O27</f>
        <v>0.35096153846153849</v>
      </c>
      <c r="J42" s="121">
        <f>O28</f>
        <v>0.33633814102564102</v>
      </c>
      <c r="K42" s="121">
        <f>O29</f>
        <v>8.7740384615384623E-2</v>
      </c>
      <c r="L42" s="121">
        <v>0</v>
      </c>
      <c r="M42" s="121">
        <v>0</v>
      </c>
      <c r="N42" s="98">
        <f>SUM(D42:M42)</f>
        <v>30.220713141025648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4.2466346153846146</v>
      </c>
      <c r="E43" s="122">
        <f t="shared" si="3"/>
        <v>0.26322115384615397</v>
      </c>
      <c r="F43" s="122">
        <f t="shared" si="3"/>
        <v>5.7469951923076925</v>
      </c>
      <c r="G43" s="122">
        <f t="shared" si="3"/>
        <v>3.9044471153846154</v>
      </c>
      <c r="H43" s="122">
        <f t="shared" si="3"/>
        <v>2.0180288461538463</v>
      </c>
      <c r="I43" s="122">
        <f t="shared" si="3"/>
        <v>1.0528846153846154</v>
      </c>
      <c r="J43" s="122">
        <f t="shared" si="3"/>
        <v>1.0090144230769231</v>
      </c>
      <c r="K43" s="122">
        <f t="shared" si="3"/>
        <v>0.26322115384615385</v>
      </c>
      <c r="L43" s="122">
        <f t="shared" si="3"/>
        <v>5.9312500000000004</v>
      </c>
      <c r="M43" s="122">
        <f t="shared" si="3"/>
        <v>3.8371794871794886</v>
      </c>
      <c r="N43" s="98">
        <f>SUM(D43:M43)</f>
        <v>28.272876602564104</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198.17628205128207</v>
      </c>
      <c r="E44" s="98">
        <f t="shared" si="4"/>
        <v>12.283653846153847</v>
      </c>
      <c r="F44" s="98">
        <f t="shared" si="4"/>
        <v>53.638621794871796</v>
      </c>
      <c r="G44" s="98">
        <f t="shared" si="4"/>
        <v>36.441506410256409</v>
      </c>
      <c r="H44" s="98">
        <f t="shared" si="4"/>
        <v>18.834935897435898</v>
      </c>
      <c r="I44" s="98">
        <f t="shared" si="4"/>
        <v>9.8269230769230784</v>
      </c>
      <c r="J44" s="98">
        <f t="shared" si="4"/>
        <v>9.4174679487179489</v>
      </c>
      <c r="K44" s="98">
        <f t="shared" si="4"/>
        <v>2.4567307692307696</v>
      </c>
      <c r="L44" s="98">
        <f t="shared" si="4"/>
        <v>41.518750000000004</v>
      </c>
      <c r="M44" s="98">
        <f t="shared" si="4"/>
        <v>26.860256410256419</v>
      </c>
      <c r="N44" s="98">
        <f>SUM(D44:M44)</f>
        <v>409.45512820512829</v>
      </c>
      <c r="O44" s="548"/>
      <c r="P44" s="492"/>
      <c r="Q44" s="544"/>
      <c r="R44" s="544" t="s">
        <v>99</v>
      </c>
      <c r="S44" s="544" t="s">
        <v>64</v>
      </c>
      <c r="T44" s="544">
        <f>IF($I$28="Incineração",O34+O35,0)</f>
        <v>28.272876602564104</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7" t="s">
        <v>113</v>
      </c>
      <c r="O61" s="2148"/>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56" t="s">
        <v>126</v>
      </c>
      <c r="J72" s="2157"/>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54" t="s">
        <v>533</v>
      </c>
      <c r="E77" s="2155"/>
      <c r="F77" s="2155"/>
      <c r="G77" s="2155"/>
      <c r="H77" s="2155"/>
      <c r="I77" s="2155"/>
      <c r="J77" s="2155"/>
      <c r="K77" s="2155"/>
      <c r="L77" s="2155"/>
      <c r="M77" s="2155"/>
      <c r="N77" s="2155"/>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54" t="s">
        <v>25</v>
      </c>
      <c r="E78" s="2155"/>
      <c r="F78" s="2159" t="s">
        <v>49</v>
      </c>
      <c r="G78" s="2154" t="s">
        <v>475</v>
      </c>
      <c r="H78" s="2155"/>
      <c r="I78" s="2154" t="s">
        <v>476</v>
      </c>
      <c r="J78" s="2154" t="s">
        <v>52</v>
      </c>
      <c r="K78" s="2155"/>
      <c r="L78" s="2154" t="s">
        <v>477</v>
      </c>
      <c r="M78" s="2155"/>
      <c r="N78" s="2158"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60"/>
      <c r="G79" s="505" t="s">
        <v>56</v>
      </c>
      <c r="H79" s="505" t="s">
        <v>57</v>
      </c>
      <c r="I79" s="2155"/>
      <c r="J79" s="505" t="s">
        <v>58</v>
      </c>
      <c r="K79" s="505" t="s">
        <v>510</v>
      </c>
      <c r="L79" s="505" t="s">
        <v>478</v>
      </c>
      <c r="M79" s="506" t="s">
        <v>509</v>
      </c>
      <c r="N79" s="2155"/>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202.42291666666668</v>
      </c>
      <c r="E80" s="135">
        <f t="shared" si="5"/>
        <v>12.546875</v>
      </c>
      <c r="F80" s="135">
        <f t="shared" si="5"/>
        <v>59.385616987179489</v>
      </c>
      <c r="G80" s="135">
        <f t="shared" si="5"/>
        <v>40.345953525641022</v>
      </c>
      <c r="H80" s="135">
        <f t="shared" si="5"/>
        <v>20.852964743589745</v>
      </c>
      <c r="I80" s="135">
        <f t="shared" si="5"/>
        <v>10.879807692307693</v>
      </c>
      <c r="J80" s="135">
        <f t="shared" si="5"/>
        <v>10.426482371794872</v>
      </c>
      <c r="K80" s="135">
        <f t="shared" si="5"/>
        <v>2.7199519230769234</v>
      </c>
      <c r="L80" s="135">
        <f t="shared" si="5"/>
        <v>47.45</v>
      </c>
      <c r="M80" s="135">
        <f t="shared" si="5"/>
        <v>30.697435897435909</v>
      </c>
      <c r="N80" s="669">
        <f>SUM(D80:M80)</f>
        <v>437.72800480769229</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198.17628205128207</v>
      </c>
      <c r="E81" s="141">
        <f t="shared" si="6"/>
        <v>12.283653846153847</v>
      </c>
      <c r="F81" s="141">
        <f t="shared" si="6"/>
        <v>53.638621794871796</v>
      </c>
      <c r="G81" s="141">
        <f t="shared" si="6"/>
        <v>36.441506410256409</v>
      </c>
      <c r="H81" s="141">
        <f t="shared" si="6"/>
        <v>18.834935897435898</v>
      </c>
      <c r="I81" s="141">
        <f t="shared" si="6"/>
        <v>9.8269230769230784</v>
      </c>
      <c r="J81" s="141">
        <f t="shared" si="6"/>
        <v>9.4174679487179489</v>
      </c>
      <c r="K81" s="141">
        <f t="shared" si="6"/>
        <v>2.4567307692307696</v>
      </c>
      <c r="L81" s="141">
        <f t="shared" si="6"/>
        <v>41.518750000000004</v>
      </c>
      <c r="M81" s="141">
        <f t="shared" si="6"/>
        <v>26.860256410256419</v>
      </c>
      <c r="N81" s="670">
        <f>SUM(D81:M81)</f>
        <v>409.45512820512829</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4.2466346153846146</v>
      </c>
      <c r="E82" s="141">
        <f t="shared" si="7"/>
        <v>0.26322115384615397</v>
      </c>
      <c r="F82" s="141">
        <f t="shared" si="7"/>
        <v>5.7469951923076925</v>
      </c>
      <c r="G82" s="141">
        <f t="shared" si="7"/>
        <v>3.9044471153846154</v>
      </c>
      <c r="H82" s="141">
        <f t="shared" si="7"/>
        <v>2.0180288461538463</v>
      </c>
      <c r="I82" s="141">
        <f t="shared" si="7"/>
        <v>1.0528846153846154</v>
      </c>
      <c r="J82" s="141">
        <f t="shared" si="7"/>
        <v>1.0090144230769231</v>
      </c>
      <c r="K82" s="141">
        <f t="shared" si="7"/>
        <v>0.26322115384615385</v>
      </c>
      <c r="L82" s="141">
        <f t="shared" si="7"/>
        <v>5.9312500000000004</v>
      </c>
      <c r="M82" s="141">
        <f t="shared" si="7"/>
        <v>3.8371794871794886</v>
      </c>
      <c r="N82" s="670">
        <f>SUM(D82:M82)</f>
        <v>28.272876602564104</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202.42291666666668</v>
      </c>
      <c r="E90" s="135">
        <f t="shared" si="9"/>
        <v>12.546875</v>
      </c>
      <c r="F90" s="135">
        <f t="shared" si="9"/>
        <v>59.385616987179489</v>
      </c>
      <c r="G90" s="135">
        <f t="shared" si="9"/>
        <v>40.345953525641022</v>
      </c>
      <c r="H90" s="135">
        <f t="shared" si="9"/>
        <v>20.852964743589745</v>
      </c>
      <c r="I90" s="135">
        <f t="shared" si="9"/>
        <v>10.879807692307693</v>
      </c>
      <c r="J90" s="135">
        <f t="shared" si="9"/>
        <v>10.426482371794872</v>
      </c>
      <c r="K90" s="135">
        <f t="shared" si="9"/>
        <v>2.7199519230769234</v>
      </c>
      <c r="L90" s="135">
        <f t="shared" si="9"/>
        <v>47.45</v>
      </c>
      <c r="M90" s="135">
        <f t="shared" si="9"/>
        <v>30.697435897435909</v>
      </c>
      <c r="N90" s="669">
        <f>SUM(D90:M90)</f>
        <v>437.72800480769229</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226.4871794871795</v>
      </c>
      <c r="E92" s="200">
        <f>E90-E94+E97+(IF(I29="Incineração",O33,0))</f>
        <v>14.038461538461538</v>
      </c>
      <c r="F92" s="200">
        <f t="shared" ref="F92:L92" si="10">F90-F94</f>
        <v>59.385616987179489</v>
      </c>
      <c r="G92" s="200">
        <f t="shared" si="10"/>
        <v>40.345953525641022</v>
      </c>
      <c r="H92" s="200">
        <f t="shared" si="10"/>
        <v>20.852964743589745</v>
      </c>
      <c r="I92" s="200">
        <f t="shared" si="10"/>
        <v>10.879807692307693</v>
      </c>
      <c r="J92" s="200">
        <f t="shared" si="10"/>
        <v>10.426482371794872</v>
      </c>
      <c r="K92" s="200">
        <f t="shared" si="10"/>
        <v>2.7199519230769234</v>
      </c>
      <c r="L92" s="200">
        <f t="shared" si="10"/>
        <v>47.45</v>
      </c>
      <c r="M92" s="200">
        <f>M90-M94+M100+M101</f>
        <v>30.697435897435909</v>
      </c>
      <c r="N92" s="200">
        <f>SUM(D92:M93)</f>
        <v>463.28385416666663</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92.656770833333354</v>
      </c>
      <c r="N94" s="200">
        <f t="shared" ref="N94:N101" si="12">SUM(D94:M94)</f>
        <v>92.656770833333354</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92.656770833333354</v>
      </c>
      <c r="N101" s="670">
        <f t="shared" si="12"/>
        <v>92.656770833333354</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409.45512820512829</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8.3771184859035372</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2.1853352571922269</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52"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28.272876602564104</v>
      </c>
      <c r="F110" s="2153"/>
      <c r="G110" s="616"/>
      <c r="H110" s="616"/>
      <c r="I110" s="616"/>
      <c r="J110" s="620"/>
      <c r="K110" s="679"/>
      <c r="L110" s="681"/>
      <c r="M110" s="615"/>
      <c r="N110" s="126" t="s">
        <v>156</v>
      </c>
      <c r="O110" s="684">
        <f>(E112*J111/100)*(1-J113/100)</f>
        <v>92.656770833333354</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25.555849358974363</v>
      </c>
      <c r="F111" s="2153"/>
      <c r="G111" s="681"/>
      <c r="H111" s="618"/>
      <c r="I111" s="118" t="s">
        <v>157</v>
      </c>
      <c r="J111" s="201">
        <f>'R-Avançado'!F29</f>
        <v>20</v>
      </c>
      <c r="K111" s="680"/>
      <c r="L111" s="681"/>
      <c r="M111" s="615"/>
      <c r="N111" s="126" t="s">
        <v>135</v>
      </c>
      <c r="O111" s="685">
        <f>E112*E114*J109/100</f>
        <v>314085.20276568754</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463.28385416666674</v>
      </c>
      <c r="F112" s="2153"/>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53"/>
      <c r="G113" s="149"/>
      <c r="H113" s="149"/>
      <c r="I113" s="118" t="s">
        <v>160</v>
      </c>
      <c r="J113" s="150">
        <v>0</v>
      </c>
      <c r="K113" s="680"/>
      <c r="L113" s="681"/>
      <c r="M113" s="615"/>
      <c r="N113" s="126" t="s">
        <v>161</v>
      </c>
      <c r="O113" s="682">
        <f>E112*(1-J111/100)-O107-O108</f>
        <v>360.06462959023764</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2690.2941707016821</v>
      </c>
      <c r="F114" s="2153"/>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53"/>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92.656770833333354</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64.859739583333351</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73" t="str">
        <f>IF('R-Entrada'!D2&lt;&gt;0,'R-Entrada'!D2,"")</f>
        <v>CIRSOP - Consórcio RSU Oeste Paulista</v>
      </c>
      <c r="E2" s="2174"/>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73" t="str">
        <f>IF('R-Entrada'!D3&lt;&gt;0,'R-Entrada'!D3,"")</f>
        <v>Biodigestão c/ Prod. E. Elétrica</v>
      </c>
      <c r="E3" s="2174"/>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75" t="s">
        <v>473</v>
      </c>
      <c r="O5" s="2176"/>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28" t="str">
        <f>Apresentação!I2</f>
        <v>RC-RSU V.1.0 - 15/10/2020</v>
      </c>
      <c r="O6" s="2176"/>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90" t="s">
        <v>958</v>
      </c>
      <c r="F8" s="2191"/>
      <c r="G8" s="2191"/>
      <c r="H8" s="2192"/>
      <c r="I8" s="484"/>
      <c r="J8" s="2195"/>
      <c r="K8" s="2196"/>
      <c r="L8" s="2193" t="s">
        <v>186</v>
      </c>
      <c r="M8" s="2193" t="s">
        <v>535</v>
      </c>
      <c r="N8" s="484"/>
      <c r="O8" s="484"/>
      <c r="P8" s="484"/>
      <c r="Q8" s="484"/>
      <c r="R8" s="484"/>
      <c r="S8" s="484"/>
      <c r="T8" s="484"/>
      <c r="U8" s="484"/>
    </row>
    <row r="9" spans="1:21" ht="18" customHeight="1" x14ac:dyDescent="0.25">
      <c r="A9" s="484"/>
      <c r="B9" s="484"/>
      <c r="C9" s="484"/>
      <c r="D9" s="2201"/>
      <c r="E9" s="748" t="s">
        <v>25</v>
      </c>
      <c r="F9" s="2190" t="s">
        <v>959</v>
      </c>
      <c r="G9" s="2191"/>
      <c r="H9" s="2192"/>
      <c r="I9" s="484"/>
      <c r="J9" s="2197"/>
      <c r="K9" s="2198"/>
      <c r="L9" s="2194"/>
      <c r="M9" s="2194"/>
      <c r="N9" s="484"/>
      <c r="O9" s="484"/>
      <c r="P9" s="484"/>
      <c r="Q9" s="484"/>
      <c r="R9" s="484"/>
      <c r="S9" s="484"/>
      <c r="T9" s="484"/>
      <c r="U9" s="484"/>
    </row>
    <row r="10" spans="1:21" ht="18" customHeight="1" x14ac:dyDescent="0.25">
      <c r="A10" s="484"/>
      <c r="B10" s="484"/>
      <c r="C10" s="484"/>
      <c r="D10" s="2202"/>
      <c r="E10" s="1627" t="s">
        <v>730</v>
      </c>
      <c r="F10" s="517" t="s">
        <v>730</v>
      </c>
      <c r="G10" s="517" t="s">
        <v>731</v>
      </c>
      <c r="H10" s="517" t="s">
        <v>557</v>
      </c>
      <c r="I10" s="484"/>
      <c r="J10" s="2199"/>
      <c r="K10" s="2200"/>
      <c r="L10" s="2194"/>
      <c r="M10" s="2194"/>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3" t="s">
        <v>536</v>
      </c>
      <c r="K11" s="2183"/>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3" t="s">
        <v>537</v>
      </c>
      <c r="K12" s="2183"/>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203" t="s">
        <v>191</v>
      </c>
      <c r="E17" s="514" t="s">
        <v>192</v>
      </c>
      <c r="F17" s="514" t="s">
        <v>999</v>
      </c>
      <c r="G17" s="484"/>
      <c r="H17" s="2205"/>
      <c r="I17" s="2205" t="s">
        <v>193</v>
      </c>
      <c r="J17" s="2155"/>
      <c r="K17" s="484"/>
      <c r="L17" s="2204" t="s">
        <v>744</v>
      </c>
      <c r="M17" s="2167"/>
      <c r="N17" s="484"/>
      <c r="O17" s="484"/>
      <c r="P17" s="484"/>
      <c r="Q17" s="484"/>
      <c r="R17" s="484"/>
      <c r="S17" s="484"/>
      <c r="T17" s="484"/>
      <c r="U17" s="484"/>
    </row>
    <row r="18" spans="1:21" ht="18" customHeight="1" x14ac:dyDescent="0.25">
      <c r="A18" s="484"/>
      <c r="B18" s="484"/>
      <c r="C18" s="729"/>
      <c r="D18" s="2155"/>
      <c r="E18" s="1712" t="s">
        <v>1062</v>
      </c>
      <c r="F18" s="1712" t="s">
        <v>998</v>
      </c>
      <c r="G18" s="484"/>
      <c r="H18" s="2155"/>
      <c r="I18" s="514" t="s">
        <v>189</v>
      </c>
      <c r="J18" s="717" t="s">
        <v>132</v>
      </c>
      <c r="K18" s="484"/>
      <c r="L18" s="2167"/>
      <c r="M18" s="2167"/>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81" t="s">
        <v>745</v>
      </c>
      <c r="E23" s="2182"/>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81" t="s">
        <v>538</v>
      </c>
      <c r="E24" s="2182"/>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185"/>
      <c r="D27" s="2186"/>
      <c r="E27" s="2186"/>
      <c r="F27" s="340" t="s">
        <v>195</v>
      </c>
      <c r="G27" s="484"/>
      <c r="H27" s="2189" t="s">
        <v>539</v>
      </c>
      <c r="I27" s="2167"/>
      <c r="J27" s="2167"/>
      <c r="K27" s="484"/>
      <c r="L27" s="2184"/>
      <c r="M27" s="2155"/>
      <c r="N27" s="2155"/>
      <c r="O27" s="514" t="s">
        <v>289</v>
      </c>
      <c r="P27" s="484"/>
      <c r="Q27" s="484"/>
      <c r="R27" s="484"/>
      <c r="S27" s="484"/>
      <c r="T27" s="484"/>
      <c r="U27" s="484"/>
    </row>
    <row r="28" spans="1:21" ht="18" customHeight="1" x14ac:dyDescent="0.25">
      <c r="A28" s="484"/>
      <c r="B28" s="484"/>
      <c r="C28" s="2181" t="s">
        <v>746</v>
      </c>
      <c r="D28" s="2182"/>
      <c r="E28" s="2182"/>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81" t="s">
        <v>196</v>
      </c>
      <c r="D29" s="2182"/>
      <c r="E29" s="2182"/>
      <c r="F29" s="214">
        <v>20</v>
      </c>
      <c r="G29" s="484"/>
      <c r="H29" s="214">
        <v>50</v>
      </c>
      <c r="I29" s="214">
        <v>30</v>
      </c>
      <c r="J29" s="214">
        <v>10</v>
      </c>
      <c r="K29" s="484"/>
      <c r="L29" s="2187" t="s">
        <v>541</v>
      </c>
      <c r="M29" s="2188"/>
      <c r="N29" s="2188"/>
      <c r="O29" s="1585">
        <v>35</v>
      </c>
      <c r="P29" s="484"/>
      <c r="Q29" s="484"/>
      <c r="R29" s="484"/>
      <c r="S29" s="484"/>
      <c r="T29" s="484"/>
      <c r="U29" s="484"/>
    </row>
    <row r="30" spans="1:21" ht="18" customHeight="1" x14ac:dyDescent="0.25">
      <c r="A30" s="484"/>
      <c r="B30" s="484"/>
      <c r="C30" s="2181" t="s">
        <v>159</v>
      </c>
      <c r="D30" s="2182"/>
      <c r="E30" s="2182"/>
      <c r="F30" s="214">
        <v>90</v>
      </c>
      <c r="G30" s="484"/>
      <c r="H30" s="170"/>
      <c r="I30" s="213"/>
      <c r="J30" s="170"/>
      <c r="K30" s="484"/>
      <c r="L30" s="2187" t="s">
        <v>747</v>
      </c>
      <c r="M30" s="2188"/>
      <c r="N30" s="2188"/>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179"/>
      <c r="C33" s="2180"/>
      <c r="D33" s="2180"/>
      <c r="E33" s="2129" t="s">
        <v>198</v>
      </c>
      <c r="F33" s="2167"/>
      <c r="G33" s="2167"/>
      <c r="H33" s="2167"/>
      <c r="I33" s="2167"/>
      <c r="J33" s="2167"/>
      <c r="K33" s="2167"/>
      <c r="L33" s="2167"/>
      <c r="M33" s="2167"/>
      <c r="N33" s="2167"/>
      <c r="O33" s="484"/>
      <c r="P33" s="484"/>
      <c r="Q33" s="484"/>
      <c r="R33" s="484"/>
      <c r="S33" s="484"/>
      <c r="T33" s="484"/>
      <c r="U33" s="484"/>
    </row>
    <row r="34" spans="1:21" ht="18" customHeight="1" x14ac:dyDescent="0.25">
      <c r="A34" s="484"/>
      <c r="B34" s="2180"/>
      <c r="C34" s="2180"/>
      <c r="D34" s="2180"/>
      <c r="E34" s="2129" t="s">
        <v>25</v>
      </c>
      <c r="F34" s="2167"/>
      <c r="G34" s="2144" t="s">
        <v>49</v>
      </c>
      <c r="H34" s="2129" t="s">
        <v>475</v>
      </c>
      <c r="I34" s="2167"/>
      <c r="J34" s="2129" t="s">
        <v>476</v>
      </c>
      <c r="K34" s="2129" t="s">
        <v>52</v>
      </c>
      <c r="L34" s="2167"/>
      <c r="M34" s="2129" t="s">
        <v>477</v>
      </c>
      <c r="N34" s="2167"/>
      <c r="O34" s="484"/>
      <c r="P34" s="484"/>
      <c r="Q34" s="484"/>
      <c r="R34" s="484"/>
      <c r="S34" s="484"/>
      <c r="T34" s="484"/>
      <c r="U34" s="484"/>
    </row>
    <row r="35" spans="1:21" ht="18" customHeight="1" x14ac:dyDescent="0.25">
      <c r="A35" s="484"/>
      <c r="B35" s="2180"/>
      <c r="C35" s="2180"/>
      <c r="D35" s="2180"/>
      <c r="E35" s="499" t="s">
        <v>54</v>
      </c>
      <c r="F35" s="499" t="s">
        <v>479</v>
      </c>
      <c r="G35" s="2167"/>
      <c r="H35" s="499" t="s">
        <v>56</v>
      </c>
      <c r="I35" s="499" t="s">
        <v>57</v>
      </c>
      <c r="J35" s="2167"/>
      <c r="K35" s="499" t="s">
        <v>58</v>
      </c>
      <c r="L35" s="499" t="s">
        <v>510</v>
      </c>
      <c r="M35" s="499" t="s">
        <v>478</v>
      </c>
      <c r="N35" s="499" t="s">
        <v>509</v>
      </c>
      <c r="O35" s="484"/>
      <c r="P35" s="484"/>
      <c r="Q35" s="484"/>
      <c r="R35" s="484"/>
      <c r="S35" s="484"/>
      <c r="T35" s="484"/>
      <c r="U35" s="484"/>
    </row>
    <row r="36" spans="1:21" ht="18" customHeight="1" x14ac:dyDescent="0.25">
      <c r="A36" s="484"/>
      <c r="B36" s="2183" t="s">
        <v>480</v>
      </c>
      <c r="C36" s="2178"/>
      <c r="D36" s="2178"/>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3" t="s">
        <v>748</v>
      </c>
      <c r="C37" s="2178"/>
      <c r="D37" s="2178"/>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177" t="s">
        <v>831</v>
      </c>
      <c r="C38" s="2178"/>
      <c r="D38" s="2178"/>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4" t="s">
        <v>834</v>
      </c>
      <c r="C1" s="2235"/>
      <c r="D1" s="2235"/>
      <c r="E1" s="2235"/>
      <c r="F1" s="2235"/>
      <c r="G1" s="2235"/>
      <c r="H1" s="2235"/>
      <c r="I1" s="2235"/>
      <c r="J1" s="2235"/>
      <c r="K1" s="2235"/>
      <c r="L1" s="2235"/>
      <c r="M1" s="2235"/>
      <c r="N1" s="2235"/>
      <c r="O1" s="2235"/>
      <c r="P1" s="2236"/>
      <c r="Q1" s="2236"/>
      <c r="R1" s="2221" t="s">
        <v>199</v>
      </c>
      <c r="S1" s="2222"/>
      <c r="T1" s="2222"/>
      <c r="U1" s="2222"/>
      <c r="V1" s="2227" t="str">
        <f>IF('R-Entrada'!D3&lt;&gt;0,'R-Entrada'!D3,"")</f>
        <v>Biodigestão c/ Prod. E. Elétrica</v>
      </c>
      <c r="W1" s="2228"/>
      <c r="X1" s="2228"/>
      <c r="Y1" s="2228"/>
      <c r="Z1" s="2228"/>
      <c r="AA1" s="2228"/>
      <c r="AB1" s="2229"/>
      <c r="AC1" s="2221" t="s">
        <v>4</v>
      </c>
      <c r="AD1" s="2222"/>
      <c r="AE1" s="2222"/>
      <c r="AF1" s="2222"/>
      <c r="AG1" s="2227" t="str">
        <f>IF('R-Entrada'!D2&lt;&gt;0,'R-Entrada'!D2,"")</f>
        <v>CIRSOP - Consórcio RSU Oeste Paulista</v>
      </c>
      <c r="AH1" s="2228"/>
      <c r="AI1" s="2228"/>
      <c r="AJ1" s="2228"/>
      <c r="AK1" s="2228"/>
      <c r="AL1" s="2228"/>
      <c r="AM1" s="2228"/>
      <c r="AN1" s="2228"/>
      <c r="AO1" s="2228"/>
      <c r="AP1" s="2228"/>
      <c r="AQ1" s="2228"/>
      <c r="AR1" s="2229"/>
      <c r="AS1" s="1026" t="s">
        <v>828</v>
      </c>
      <c r="AT1" s="1023"/>
      <c r="AV1" s="165"/>
    </row>
    <row r="2" spans="2:69" s="164" customFormat="1" ht="3" customHeight="1" x14ac:dyDescent="0.25">
      <c r="B2" s="2230"/>
      <c r="C2" s="2212"/>
      <c r="D2" s="2212"/>
      <c r="E2" s="2212"/>
      <c r="F2" s="2212"/>
      <c r="G2" s="2212"/>
      <c r="H2" s="2212"/>
      <c r="I2" s="2213"/>
      <c r="J2" s="166"/>
      <c r="K2" s="2225"/>
      <c r="L2" s="2212"/>
      <c r="M2" s="2212"/>
      <c r="N2" s="2212"/>
      <c r="O2" s="2212"/>
      <c r="P2" s="2212"/>
      <c r="Q2" s="2212"/>
      <c r="R2" s="2212"/>
      <c r="S2" s="2212"/>
      <c r="T2" s="2212"/>
      <c r="U2" s="2212"/>
      <c r="V2" s="2212"/>
      <c r="W2" s="2212"/>
      <c r="X2" s="2212"/>
      <c r="Y2" s="2212"/>
      <c r="Z2" s="2212"/>
      <c r="AA2" s="2212"/>
      <c r="AB2" s="2212"/>
      <c r="AC2" s="2212"/>
      <c r="AD2" s="2212"/>
      <c r="AE2" s="2212"/>
      <c r="AF2" s="2212"/>
      <c r="AG2" s="2212"/>
      <c r="AH2" s="2212"/>
      <c r="AI2" s="2212"/>
      <c r="AJ2" s="2213"/>
      <c r="AK2" s="2225"/>
      <c r="AL2" s="2212"/>
      <c r="AM2" s="2212"/>
      <c r="AN2" s="2212"/>
      <c r="AO2" s="2212"/>
      <c r="AP2" s="2212"/>
      <c r="AQ2" s="2212"/>
      <c r="AR2" s="2212"/>
      <c r="AS2" s="2212"/>
      <c r="AT2" s="2226"/>
      <c r="AU2" s="165"/>
    </row>
    <row r="3" spans="2:69" s="164" customFormat="1" ht="16.899999999999999" customHeight="1" x14ac:dyDescent="0.25">
      <c r="B3" s="167"/>
      <c r="C3" s="158">
        <f>'R-Entrada'!E14</f>
        <v>467.94871794871796</v>
      </c>
      <c r="D3" s="168"/>
      <c r="E3" s="2211" t="s">
        <v>200</v>
      </c>
      <c r="F3" s="2212"/>
      <c r="G3" s="2212"/>
      <c r="H3" s="2213"/>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11" t="s">
        <v>201</v>
      </c>
      <c r="F5" s="2212"/>
      <c r="G5" s="2212"/>
      <c r="H5" s="2213"/>
      <c r="I5" s="166"/>
      <c r="J5" s="166"/>
      <c r="K5" s="166"/>
      <c r="L5" s="166"/>
      <c r="M5" s="166"/>
      <c r="N5" s="166"/>
      <c r="O5" s="166"/>
      <c r="P5" s="166"/>
      <c r="Q5" s="166"/>
      <c r="R5" s="166"/>
      <c r="S5" s="166"/>
      <c r="T5" s="166"/>
      <c r="U5" s="166"/>
      <c r="V5" s="166"/>
      <c r="W5" s="166"/>
      <c r="X5" s="166"/>
      <c r="Y5" s="166"/>
      <c r="Z5" s="166"/>
      <c r="AA5" s="166"/>
      <c r="AB5" s="2231" t="s">
        <v>473</v>
      </c>
      <c r="AC5" s="2171"/>
      <c r="AD5" s="2171"/>
      <c r="AE5" s="2171"/>
      <c r="AF5" s="2171"/>
      <c r="AG5" s="2171"/>
      <c r="AH5" s="2171"/>
      <c r="AI5" s="2171"/>
      <c r="AJ5" s="2171"/>
      <c r="AK5" s="2171"/>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11" t="s">
        <v>59</v>
      </c>
      <c r="F7" s="2212"/>
      <c r="G7" s="2212"/>
      <c r="H7" s="2213"/>
      <c r="I7" s="166"/>
      <c r="J7" s="166"/>
      <c r="K7" s="166"/>
      <c r="L7" s="166"/>
      <c r="M7" s="166"/>
      <c r="N7" s="166"/>
      <c r="O7" s="166"/>
      <c r="P7" s="166"/>
      <c r="Q7" s="166"/>
      <c r="R7" s="166"/>
      <c r="S7" s="166"/>
      <c r="T7" s="166"/>
      <c r="U7" s="166"/>
      <c r="V7" s="166"/>
      <c r="W7" s="166"/>
      <c r="X7" s="166"/>
      <c r="Y7" s="166"/>
      <c r="Z7" s="166"/>
      <c r="AA7" s="166"/>
      <c r="AB7" s="2232" t="str">
        <f>Apresentação!I2</f>
        <v>RC-RSU V.1.0 - 15/10/2020</v>
      </c>
      <c r="AC7" s="2233"/>
      <c r="AD7" s="2233"/>
      <c r="AE7" s="2233"/>
      <c r="AF7" s="2233"/>
      <c r="AG7" s="2233"/>
      <c r="AH7" s="2233"/>
      <c r="AI7" s="2233"/>
      <c r="AJ7" s="2233"/>
      <c r="AK7" s="2233"/>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467.94871794871796</v>
      </c>
      <c r="D9" s="166"/>
      <c r="E9" s="2211" t="s">
        <v>202</v>
      </c>
      <c r="F9" s="2212"/>
      <c r="G9" s="2212"/>
      <c r="H9" s="2213"/>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467.94871794871796</v>
      </c>
      <c r="D11" s="166"/>
      <c r="E11" s="2223" t="s">
        <v>835</v>
      </c>
      <c r="F11" s="2224"/>
      <c r="G11" s="2224"/>
      <c r="H11" s="2224"/>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6" t="s">
        <v>203</v>
      </c>
      <c r="AP11" s="159"/>
      <c r="AQ11" s="2216" t="s">
        <v>204</v>
      </c>
      <c r="AR11" s="159"/>
      <c r="AS11" s="2216"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9"/>
      <c r="AP12" s="159"/>
      <c r="AQ12" s="2217"/>
      <c r="AR12" s="159"/>
      <c r="AS12" s="2217"/>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0"/>
      <c r="AP13" s="159"/>
      <c r="AQ13" s="2218"/>
      <c r="AR13" s="159"/>
      <c r="AS13" s="2218"/>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14" t="s">
        <v>832</v>
      </c>
      <c r="J15" s="2212"/>
      <c r="K15" s="2212"/>
      <c r="L15" s="2212"/>
      <c r="M15" s="2212"/>
      <c r="N15" s="2212"/>
      <c r="O15" s="2213"/>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14" t="s">
        <v>833</v>
      </c>
      <c r="M19" s="2212"/>
      <c r="N19" s="2212"/>
      <c r="O19" s="2212"/>
      <c r="P19" s="2212"/>
      <c r="Q19" s="2212"/>
      <c r="R19" s="2213"/>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58.493589743589752</v>
      </c>
      <c r="G23" s="166"/>
      <c r="H23" s="166"/>
      <c r="I23" s="166"/>
      <c r="J23" s="166"/>
      <c r="K23" s="166"/>
      <c r="L23" s="166"/>
      <c r="M23" s="166"/>
      <c r="N23" s="166"/>
      <c r="O23" s="166"/>
      <c r="P23" s="166"/>
      <c r="Q23" s="2214" t="s">
        <v>836</v>
      </c>
      <c r="R23" s="2212"/>
      <c r="S23" s="2212"/>
      <c r="T23" s="2212"/>
      <c r="U23" s="2212"/>
      <c r="V23" s="2212"/>
      <c r="W23" s="2213"/>
      <c r="X23" s="166"/>
      <c r="Y23" s="166"/>
      <c r="Z23" s="166"/>
      <c r="AA23" s="166"/>
      <c r="AB23" s="166"/>
      <c r="AC23" s="166"/>
      <c r="AD23" s="166"/>
      <c r="AE23" s="166"/>
      <c r="AF23" s="166"/>
      <c r="AG23" s="166"/>
      <c r="AH23" s="166"/>
      <c r="AI23" s="166"/>
      <c r="AJ23" s="166"/>
      <c r="AK23" s="166"/>
      <c r="AL23" s="166"/>
      <c r="AM23" s="166"/>
      <c r="AN23" s="159"/>
      <c r="AO23" s="158">
        <f>'R-Resumo Bal. Massa'!G64</f>
        <v>4.6648637820512828</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15">
        <f>F15+F19+F23-AO15-AO19-AO23-AS17-AS21-AS25-S25</f>
        <v>28.272876602564104</v>
      </c>
      <c r="K25" s="2209"/>
      <c r="L25" s="2209"/>
      <c r="M25" s="2210"/>
      <c r="N25" s="166"/>
      <c r="O25" s="166"/>
      <c r="P25" s="166"/>
      <c r="Q25" s="166"/>
      <c r="R25" s="166"/>
      <c r="S25" s="2208">
        <f>IF('R-Definição'!I29&lt;&gt;"Aterro sanitário",'R-Resumo Bal. Massa'!F22,0)</f>
        <v>25.555849358974363</v>
      </c>
      <c r="T25" s="2210"/>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08">
        <f>'R-Resumo Bal. Massa'!B25</f>
        <v>0</v>
      </c>
      <c r="W27" s="2210"/>
      <c r="X27" s="166"/>
      <c r="Y27" s="2237" t="s">
        <v>100</v>
      </c>
      <c r="Z27" s="2212"/>
      <c r="AA27" s="2212"/>
      <c r="AB27" s="2213"/>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08">
        <f>'R-Definição'!E59</f>
        <v>0</v>
      </c>
      <c r="T29" s="2210"/>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08">
        <f>SUM('R-Resumo Bal. Massa'!D40:D42)</f>
        <v>28.272876602564104</v>
      </c>
      <c r="K31" s="2209"/>
      <c r="L31" s="2209"/>
      <c r="M31" s="2210"/>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08">
        <f>'R-Resumo Bal. Massa'!D36</f>
        <v>0</v>
      </c>
      <c r="T33" s="2210"/>
      <c r="U33" s="166"/>
      <c r="V33" s="166"/>
      <c r="W33" s="166"/>
      <c r="X33" s="166"/>
      <c r="Y33" s="2208">
        <f>'R-Definição'!E60*'R-Definição'!J59/100</f>
        <v>0</v>
      </c>
      <c r="Z33" s="2210"/>
      <c r="AA33" s="166"/>
      <c r="AB33" s="2240" t="s">
        <v>115</v>
      </c>
      <c r="AC33" s="2241"/>
      <c r="AD33" s="2241"/>
      <c r="AE33" s="2241"/>
      <c r="AF33" s="2242"/>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8">
        <f>'R-Definição'!J68</f>
        <v>0</v>
      </c>
      <c r="AE35" s="2210"/>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08">
        <f>'R-Resumo Bal. Massa'!D35</f>
        <v>0</v>
      </c>
      <c r="T37" s="2210"/>
      <c r="U37" s="166"/>
      <c r="V37" s="166"/>
      <c r="W37" s="166"/>
      <c r="X37" s="166"/>
      <c r="Y37" s="166"/>
      <c r="Z37" s="166"/>
      <c r="AA37" s="166"/>
      <c r="AB37" s="166"/>
      <c r="AC37" s="166"/>
      <c r="AD37" s="2237" t="s">
        <v>132</v>
      </c>
      <c r="AE37" s="2212"/>
      <c r="AF37" s="2212"/>
      <c r="AG37" s="2213"/>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08">
        <f>'R-Resumo Bal. Massa'!D43</f>
        <v>25.555849358974363</v>
      </c>
      <c r="U41" s="2210"/>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409.45512820512829</v>
      </c>
      <c r="G43" s="166"/>
      <c r="H43" s="166"/>
      <c r="I43" s="166"/>
      <c r="J43" s="2208">
        <f>SUM('R-Resumo Bal. Massa'!D39:D42)</f>
        <v>437.7280048076924</v>
      </c>
      <c r="K43" s="2209"/>
      <c r="L43" s="2209"/>
      <c r="M43" s="2210"/>
      <c r="N43" s="166"/>
      <c r="O43" s="166"/>
      <c r="P43" s="166"/>
      <c r="Q43" s="166"/>
      <c r="R43" s="166"/>
      <c r="S43" s="166"/>
      <c r="T43" s="2208">
        <f>'R-Resumo Bal. Massa'!D44</f>
        <v>463.28385416666674</v>
      </c>
      <c r="U43" s="2210"/>
      <c r="V43" s="166"/>
      <c r="W43" s="166"/>
      <c r="X43" s="166"/>
      <c r="Y43" s="166"/>
      <c r="Z43" s="166"/>
      <c r="AA43" s="166"/>
      <c r="AB43" s="166"/>
      <c r="AC43" s="166"/>
      <c r="AD43" s="166"/>
      <c r="AE43" s="166"/>
      <c r="AF43" s="166"/>
      <c r="AG43" s="733"/>
      <c r="AH43" s="2237" t="s">
        <v>205</v>
      </c>
      <c r="AI43" s="2238"/>
      <c r="AJ43" s="2238"/>
      <c r="AK43" s="2239"/>
      <c r="AL43" s="166"/>
      <c r="AM43" s="166"/>
      <c r="AN43" s="159"/>
      <c r="AO43" s="158">
        <f>'R-Resumo Bal. Massa'!E44</f>
        <v>10.562453743095764</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360.06462959023764</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92.656770833333354</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06">
        <f>'R-Definição'!E126</f>
        <v>64.859739583333351</v>
      </c>
      <c r="J51" s="2207"/>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15.227317525147047</v>
      </c>
      <c r="AP51" s="162"/>
      <c r="AQ51" s="1025">
        <f>AQ29+AQ33+AQ39+AQ45</f>
        <v>360.06462959023764</v>
      </c>
      <c r="AR51" s="162"/>
      <c r="AS51" s="1025">
        <f>'R-Resumo Bal. Massa'!D53</f>
        <v>92.656770833333354</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06" t="str">
        <f>IF('R-Definição'!O124&gt;0,'R-Definição'!O124,"Não")</f>
        <v>Não</v>
      </c>
      <c r="J53" s="2207"/>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46"/>
      <c r="K4" s="2137"/>
      <c r="L4" s="3"/>
      <c r="M4" s="3"/>
      <c r="N4" s="3"/>
      <c r="O4" s="3"/>
      <c r="P4" s="3"/>
      <c r="Q4" s="3"/>
      <c r="R4" s="3"/>
      <c r="S4" s="3"/>
      <c r="T4" s="3"/>
    </row>
    <row r="5" spans="1:20" ht="25.9" customHeight="1" x14ac:dyDescent="0.25">
      <c r="A5" s="3"/>
      <c r="B5" s="100"/>
      <c r="C5" s="204" t="s">
        <v>543</v>
      </c>
      <c r="D5" s="100"/>
      <c r="E5" s="100"/>
      <c r="F5" s="100"/>
      <c r="G5" s="100"/>
      <c r="H5" s="100"/>
      <c r="I5" s="3"/>
      <c r="J5" s="2248" t="s">
        <v>473</v>
      </c>
      <c r="K5" s="2171"/>
      <c r="L5" s="2171"/>
      <c r="M5" s="3"/>
      <c r="N5" s="3"/>
      <c r="O5" s="3"/>
      <c r="P5" s="3"/>
      <c r="Q5" s="3"/>
      <c r="R5" s="3"/>
      <c r="S5" s="3"/>
      <c r="T5" s="3"/>
    </row>
    <row r="6" spans="1:20" ht="18" customHeight="1" x14ac:dyDescent="0.25">
      <c r="A6" s="3"/>
      <c r="B6" s="64"/>
      <c r="C6" s="64"/>
      <c r="D6" s="64"/>
      <c r="E6" s="64"/>
      <c r="F6" s="64"/>
      <c r="G6" s="64"/>
      <c r="H6" s="64"/>
      <c r="I6" s="3"/>
      <c r="J6" s="2128" t="str">
        <f>Apresentação!I2</f>
        <v>RC-RSU V.1.0 - 15/10/2020</v>
      </c>
      <c r="K6" s="2247"/>
      <c r="L6" s="2247"/>
      <c r="M6" s="3"/>
      <c r="N6" s="3"/>
      <c r="O6" s="3"/>
      <c r="P6" s="3"/>
      <c r="Q6" s="3"/>
      <c r="R6" s="3"/>
      <c r="S6" s="3"/>
      <c r="T6" s="3"/>
    </row>
    <row r="7" spans="1:20" ht="18" customHeight="1" x14ac:dyDescent="0.25">
      <c r="A7" s="3"/>
      <c r="B7" s="2129" t="s">
        <v>544</v>
      </c>
      <c r="C7" s="2167"/>
      <c r="D7" s="2167"/>
      <c r="E7" s="2167"/>
      <c r="F7" s="2167"/>
      <c r="G7" s="2167"/>
      <c r="H7" s="2167"/>
      <c r="I7" s="3"/>
      <c r="J7" s="734"/>
      <c r="K7" s="734"/>
      <c r="L7" s="734"/>
      <c r="M7" s="3"/>
      <c r="N7" s="3"/>
      <c r="O7" s="3"/>
      <c r="P7" s="3"/>
      <c r="Q7" s="3"/>
      <c r="R7" s="3"/>
      <c r="S7" s="3"/>
      <c r="T7" s="3"/>
    </row>
    <row r="8" spans="1:20" ht="18" customHeight="1" x14ac:dyDescent="0.25">
      <c r="A8" s="3"/>
      <c r="B8" s="2144" t="s">
        <v>210</v>
      </c>
      <c r="C8" s="2144" t="s">
        <v>211</v>
      </c>
      <c r="D8" s="2129" t="s">
        <v>212</v>
      </c>
      <c r="E8" s="2144" t="s">
        <v>213</v>
      </c>
      <c r="F8" s="2130"/>
      <c r="G8" s="2130"/>
      <c r="H8" s="2130"/>
      <c r="I8" s="3"/>
      <c r="J8" s="3"/>
      <c r="K8" s="3"/>
      <c r="L8" s="3"/>
      <c r="M8" s="3"/>
      <c r="N8" s="3"/>
      <c r="O8" s="3"/>
      <c r="P8" s="14"/>
      <c r="Q8" s="3"/>
      <c r="R8" s="3"/>
      <c r="S8" s="3"/>
      <c r="T8" s="3"/>
    </row>
    <row r="9" spans="1:20" ht="18" customHeight="1" x14ac:dyDescent="0.25">
      <c r="A9" s="7"/>
      <c r="B9" s="2130"/>
      <c r="C9" s="2130"/>
      <c r="D9" s="2130"/>
      <c r="E9" s="2144" t="s">
        <v>214</v>
      </c>
      <c r="F9" s="2261" t="s">
        <v>25</v>
      </c>
      <c r="G9" s="2129" t="s">
        <v>215</v>
      </c>
      <c r="H9" s="2144" t="s">
        <v>216</v>
      </c>
      <c r="I9" s="7"/>
      <c r="J9" s="7"/>
      <c r="K9" s="7"/>
      <c r="L9" s="7"/>
      <c r="M9" s="7"/>
      <c r="N9" s="7"/>
      <c r="O9" s="7"/>
      <c r="P9" s="3"/>
      <c r="Q9" s="3"/>
      <c r="R9" s="7"/>
      <c r="S9" s="3"/>
      <c r="T9" s="3"/>
    </row>
    <row r="10" spans="1:20" ht="18" customHeight="1" x14ac:dyDescent="0.25">
      <c r="A10" s="7"/>
      <c r="B10" s="2130"/>
      <c r="C10" s="2130"/>
      <c r="D10" s="2130"/>
      <c r="E10" s="2130"/>
      <c r="F10" s="2130"/>
      <c r="G10" s="2130"/>
      <c r="H10" s="2130"/>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58.493589743589752</v>
      </c>
      <c r="C21" s="510" t="s">
        <v>751</v>
      </c>
      <c r="D21" s="223">
        <f>IF('R-Definição'!$I$24="Sim",'R-Definição'!$I$27,0)</f>
        <v>58.493589743589752</v>
      </c>
      <c r="E21" s="223">
        <f>'R-Definição'!O30</f>
        <v>4.6648637820512828</v>
      </c>
      <c r="F21" s="223">
        <f>'R-Definição'!L32</f>
        <v>25.555849358974363</v>
      </c>
      <c r="G21" s="223">
        <f>SUM('R-Definição'!O34:'R-Definição'!O35)</f>
        <v>28.272876602564104</v>
      </c>
      <c r="H21" s="21"/>
      <c r="I21" s="3"/>
      <c r="J21" s="3"/>
      <c r="K21" s="3"/>
      <c r="L21" s="3"/>
      <c r="M21" s="7"/>
      <c r="N21" s="7"/>
      <c r="O21" s="7"/>
      <c r="P21" s="7"/>
      <c r="Q21" s="7"/>
      <c r="R21" s="3"/>
      <c r="S21" s="3"/>
      <c r="T21" s="3"/>
    </row>
    <row r="22" spans="1:20" ht="18" customHeight="1" x14ac:dyDescent="0.25">
      <c r="A22" s="3"/>
      <c r="B22" s="745"/>
      <c r="C22" s="746" t="s">
        <v>218</v>
      </c>
      <c r="D22" s="740">
        <f>SUM(D19:D21)</f>
        <v>58.493589743589752</v>
      </c>
      <c r="E22" s="224">
        <f>SUM(E19:E21)</f>
        <v>4.6648637820512828</v>
      </c>
      <c r="F22" s="224">
        <f>SUM(F19:F21)</f>
        <v>25.555849358974363</v>
      </c>
      <c r="G22" s="224">
        <f>SUM(G19:G21)</f>
        <v>28.272876602564104</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49">
        <f>D29</f>
        <v>0</v>
      </c>
      <c r="C25" s="233" t="s">
        <v>732</v>
      </c>
      <c r="D25" s="223">
        <f>'R-Definição'!E49</f>
        <v>0</v>
      </c>
      <c r="E25" s="2251">
        <f>'R-Definição'!O49+'R-Definição'!O50</f>
        <v>0</v>
      </c>
      <c r="F25" s="2253"/>
      <c r="G25" s="2251">
        <f>'R-Definição'!O53</f>
        <v>0</v>
      </c>
      <c r="H25" s="2251">
        <f>'R-Definição'!O55</f>
        <v>0</v>
      </c>
      <c r="I25" s="3"/>
      <c r="J25" s="3"/>
      <c r="K25" s="3"/>
      <c r="L25" s="3"/>
      <c r="M25" s="3"/>
      <c r="N25" s="3"/>
      <c r="O25" s="3"/>
      <c r="P25" s="3"/>
      <c r="Q25" s="3"/>
      <c r="R25" s="3"/>
      <c r="S25" s="3"/>
      <c r="T25" s="3"/>
    </row>
    <row r="26" spans="1:20" ht="18" customHeight="1" x14ac:dyDescent="0.25">
      <c r="A26" s="3"/>
      <c r="B26" s="2250"/>
      <c r="C26" s="233" t="s">
        <v>733</v>
      </c>
      <c r="D26" s="223">
        <f>'R-Definição'!E50</f>
        <v>0</v>
      </c>
      <c r="E26" s="2252"/>
      <c r="F26" s="2252"/>
      <c r="G26" s="2252"/>
      <c r="H26" s="2252"/>
      <c r="I26" s="3"/>
      <c r="J26" s="3"/>
      <c r="K26" s="3"/>
      <c r="L26" s="3"/>
      <c r="M26" s="3"/>
      <c r="N26" s="3"/>
      <c r="O26" s="3"/>
      <c r="P26" s="3"/>
      <c r="Q26" s="3"/>
      <c r="R26" s="3"/>
      <c r="S26" s="3"/>
      <c r="T26" s="3"/>
    </row>
    <row r="27" spans="1:20" ht="18" customHeight="1" x14ac:dyDescent="0.25">
      <c r="A27" s="3"/>
      <c r="B27" s="2250"/>
      <c r="C27" s="233" t="s">
        <v>545</v>
      </c>
      <c r="D27" s="223">
        <f>'R-Definição'!E51</f>
        <v>0</v>
      </c>
      <c r="E27" s="2252"/>
      <c r="F27" s="2252"/>
      <c r="G27" s="2252"/>
      <c r="H27" s="2252"/>
      <c r="I27" s="3"/>
      <c r="J27" s="3"/>
      <c r="K27" s="3"/>
      <c r="L27" s="3"/>
      <c r="M27" s="3"/>
      <c r="N27" s="3"/>
      <c r="O27" s="3"/>
      <c r="P27" s="3"/>
      <c r="Q27" s="3"/>
      <c r="R27" s="3"/>
      <c r="S27" s="3"/>
      <c r="T27" s="3"/>
    </row>
    <row r="28" spans="1:20" ht="18" customHeight="1" x14ac:dyDescent="0.25">
      <c r="A28" s="3"/>
      <c r="B28" s="2250"/>
      <c r="C28" s="233" t="s">
        <v>546</v>
      </c>
      <c r="D28" s="223">
        <f>'R-Definição'!E52</f>
        <v>0</v>
      </c>
      <c r="E28" s="2252"/>
      <c r="F28" s="2252"/>
      <c r="G28" s="2252"/>
      <c r="H28" s="2252"/>
      <c r="I28" s="3"/>
      <c r="J28" s="3"/>
      <c r="K28" s="3"/>
      <c r="L28" s="3"/>
      <c r="M28" s="3"/>
      <c r="N28" s="3"/>
      <c r="O28" s="3"/>
      <c r="P28" s="3"/>
      <c r="Q28" s="3"/>
      <c r="R28" s="3"/>
      <c r="S28" s="3"/>
      <c r="T28" s="3"/>
    </row>
    <row r="29" spans="1:20" ht="18" customHeight="1" x14ac:dyDescent="0.25">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25">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0</v>
      </c>
      <c r="C34" s="507" t="s">
        <v>221</v>
      </c>
      <c r="D34" s="976">
        <f>IF('R-Definição'!$J$67&lt;&gt;"Uso agrícola dir.",'R-Definição'!$O$62,0)</f>
        <v>0</v>
      </c>
      <c r="E34" s="978"/>
      <c r="F34" s="2262">
        <f>'R-Definição'!O67+'R-Definição'!O68</f>
        <v>0</v>
      </c>
      <c r="G34" s="2251">
        <f>'R-Definição'!O73</f>
        <v>0</v>
      </c>
      <c r="H34" s="2251">
        <f>'R-Definição'!O74</f>
        <v>0</v>
      </c>
      <c r="I34" s="3"/>
      <c r="J34" s="3"/>
      <c r="K34" s="3"/>
      <c r="L34" s="3"/>
      <c r="M34" s="3"/>
      <c r="N34" s="3"/>
      <c r="O34" s="3"/>
      <c r="P34" s="3"/>
      <c r="Q34" s="3"/>
      <c r="R34" s="3"/>
      <c r="S34" s="3"/>
      <c r="T34" s="3"/>
    </row>
    <row r="35" spans="1:20" ht="18" customHeight="1" x14ac:dyDescent="0.25">
      <c r="A35" s="3"/>
      <c r="B35" s="741">
        <f>'R-Definição'!O63+'R-Definição'!O64</f>
        <v>0</v>
      </c>
      <c r="C35" s="507" t="s">
        <v>132</v>
      </c>
      <c r="D35" s="223">
        <f>'R-Definição'!E60-'R-Definição'!O62</f>
        <v>0</v>
      </c>
      <c r="E35" s="975"/>
      <c r="F35" s="2255"/>
      <c r="G35" s="2255"/>
      <c r="H35" s="2255"/>
      <c r="I35" s="3"/>
      <c r="J35" s="3"/>
      <c r="K35" s="3"/>
      <c r="L35" s="3"/>
      <c r="M35" s="3"/>
      <c r="N35" s="3"/>
      <c r="O35" s="3"/>
      <c r="P35" s="3"/>
      <c r="Q35" s="3"/>
      <c r="R35" s="3"/>
      <c r="S35" s="3"/>
      <c r="T35" s="3"/>
    </row>
    <row r="36" spans="1:20" ht="18" customHeight="1" x14ac:dyDescent="0.25">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49">
        <f>'R-Definição'!E112</f>
        <v>463.28385416666674</v>
      </c>
      <c r="C39" s="507" t="s">
        <v>222</v>
      </c>
      <c r="D39" s="223">
        <f>'R-Definição'!E107</f>
        <v>409.45512820512829</v>
      </c>
      <c r="E39" s="2254">
        <f>'R-Definição'!O107+'R-Definição'!O108+'R-Definição'!O109</f>
        <v>10.562453743095764</v>
      </c>
      <c r="F39" s="2253"/>
      <c r="G39" s="2254">
        <f>'R-Definição'!O110</f>
        <v>92.656770833333354</v>
      </c>
      <c r="H39" s="2254">
        <f>'R-Definição'!O113</f>
        <v>360.06462959023764</v>
      </c>
      <c r="I39" s="3"/>
      <c r="J39" s="3"/>
      <c r="K39" s="3"/>
      <c r="L39" s="3"/>
      <c r="M39" s="3"/>
      <c r="N39" s="3"/>
      <c r="O39" s="3"/>
      <c r="P39" s="3"/>
      <c r="Q39" s="3"/>
      <c r="R39" s="3"/>
      <c r="S39" s="3"/>
      <c r="T39" s="3"/>
    </row>
    <row r="40" spans="1:20" ht="18" customHeight="1" x14ac:dyDescent="0.25">
      <c r="A40" s="3"/>
      <c r="B40" s="2178"/>
      <c r="C40" s="507" t="s">
        <v>752</v>
      </c>
      <c r="D40" s="223">
        <f>'R-Definição'!E108</f>
        <v>0</v>
      </c>
      <c r="E40" s="2255"/>
      <c r="F40" s="2255"/>
      <c r="G40" s="2255"/>
      <c r="H40" s="2255"/>
      <c r="I40" s="3"/>
      <c r="J40" s="3"/>
      <c r="K40" s="3"/>
      <c r="L40" s="3"/>
      <c r="M40" s="3"/>
      <c r="N40" s="3"/>
      <c r="O40" s="3"/>
      <c r="P40" s="3"/>
      <c r="Q40" s="3"/>
      <c r="R40" s="3"/>
      <c r="S40" s="3"/>
      <c r="T40" s="3"/>
    </row>
    <row r="41" spans="1:20" ht="18" customHeight="1" x14ac:dyDescent="0.25">
      <c r="A41" s="3"/>
      <c r="B41" s="2178"/>
      <c r="C41" s="507" t="s">
        <v>734</v>
      </c>
      <c r="D41" s="223">
        <f>'R-Definição'!E109</f>
        <v>0</v>
      </c>
      <c r="E41" s="2255"/>
      <c r="F41" s="2255"/>
      <c r="G41" s="2255"/>
      <c r="H41" s="2255"/>
      <c r="I41" s="3"/>
      <c r="J41" s="3"/>
      <c r="K41" s="3"/>
      <c r="L41" s="3"/>
      <c r="M41" s="3"/>
      <c r="N41" s="3"/>
      <c r="O41" s="3"/>
      <c r="P41" s="3"/>
      <c r="Q41" s="3"/>
      <c r="R41" s="3"/>
      <c r="S41" s="3"/>
      <c r="T41" s="3"/>
    </row>
    <row r="42" spans="1:20" ht="18" customHeight="1" x14ac:dyDescent="0.25">
      <c r="A42" s="3"/>
      <c r="B42" s="2178"/>
      <c r="C42" s="237" t="s">
        <v>819</v>
      </c>
      <c r="D42" s="223">
        <f>'R-Definição'!E110</f>
        <v>28.272876602564104</v>
      </c>
      <c r="E42" s="2255"/>
      <c r="F42" s="2255"/>
      <c r="G42" s="2255"/>
      <c r="H42" s="2255"/>
      <c r="I42" s="3"/>
      <c r="J42" s="3"/>
      <c r="K42" s="3"/>
      <c r="L42" s="3"/>
      <c r="M42" s="3"/>
      <c r="N42" s="3"/>
      <c r="O42" s="3"/>
      <c r="P42" s="3"/>
      <c r="Q42" s="3"/>
      <c r="R42" s="3"/>
      <c r="S42" s="3"/>
      <c r="T42" s="3"/>
    </row>
    <row r="43" spans="1:20" ht="18" customHeight="1" x14ac:dyDescent="0.25">
      <c r="A43" s="3"/>
      <c r="C43" s="1708" t="s">
        <v>990</v>
      </c>
      <c r="D43" s="1707">
        <f>'R-Definição'!E111</f>
        <v>25.555849358974363</v>
      </c>
      <c r="I43" s="3"/>
      <c r="J43" s="3"/>
      <c r="K43" s="3"/>
      <c r="L43" s="3"/>
      <c r="M43" s="3"/>
      <c r="N43" s="3"/>
      <c r="O43" s="3"/>
      <c r="P43" s="3"/>
      <c r="Q43" s="3"/>
      <c r="R43" s="3"/>
      <c r="S43" s="3"/>
      <c r="T43" s="3"/>
    </row>
    <row r="44" spans="1:20" ht="18" customHeight="1" x14ac:dyDescent="0.25">
      <c r="A44" s="3"/>
      <c r="B44" s="211"/>
      <c r="C44" s="747" t="s">
        <v>218</v>
      </c>
      <c r="D44" s="979">
        <f>SUM(D39:D43)</f>
        <v>463.28385416666674</v>
      </c>
      <c r="E44" s="750">
        <f>E39</f>
        <v>10.562453743095764</v>
      </c>
      <c r="F44" s="751"/>
      <c r="G44" s="750">
        <f>SUM(G38:G42)</f>
        <v>92.656770833333354</v>
      </c>
      <c r="H44" s="750">
        <f>SUM(H38:H42)</f>
        <v>360.06462959023764</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43">
        <f>'R-Definição'!E119</f>
        <v>92.656770833333354</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44"/>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25">
      <c r="A49" s="3"/>
      <c r="B49" s="2244"/>
      <c r="C49" s="1706" t="s">
        <v>548</v>
      </c>
      <c r="D49" s="1707">
        <f>'R-Definição'!N98+'R-Definição'!N99+'R-Definição'!N97</f>
        <v>0</v>
      </c>
      <c r="E49" s="5"/>
      <c r="F49" s="233" t="s">
        <v>226</v>
      </c>
      <c r="G49" s="223">
        <f>D53</f>
        <v>92.656770833333354</v>
      </c>
      <c r="H49" s="878">
        <f>IF($G$52&lt;&gt;0,G49/$G$52*100,0)</f>
        <v>19.800625000000004</v>
      </c>
      <c r="I49" s="20"/>
      <c r="J49" s="3"/>
      <c r="K49" s="3"/>
      <c r="L49" s="3"/>
      <c r="M49" s="3"/>
      <c r="N49" s="3"/>
      <c r="O49" s="3"/>
      <c r="P49" s="3"/>
      <c r="Q49" s="3"/>
      <c r="R49" s="3"/>
      <c r="S49" s="3"/>
      <c r="T49" s="3"/>
    </row>
    <row r="50" spans="1:20" ht="18" customHeight="1" x14ac:dyDescent="0.25">
      <c r="A50" s="3"/>
      <c r="B50" s="2244"/>
      <c r="C50" s="1706" t="s">
        <v>549</v>
      </c>
      <c r="D50" s="1707">
        <f>'R-Definição'!O53</f>
        <v>0</v>
      </c>
      <c r="E50" s="5"/>
      <c r="F50" s="233" t="s">
        <v>552</v>
      </c>
      <c r="G50" s="878">
        <f>E44+F36+E29+E22</f>
        <v>15.227317525147047</v>
      </c>
      <c r="H50" s="878">
        <f>IF($G$52&lt;&gt;0,G50/$G$52*100,0)</f>
        <v>3.2540568957848479</v>
      </c>
      <c r="I50" s="22"/>
      <c r="J50" s="3"/>
      <c r="K50" s="3"/>
      <c r="L50" s="3"/>
      <c r="M50" s="3"/>
      <c r="N50" s="3"/>
      <c r="O50" s="3"/>
      <c r="P50" s="3"/>
      <c r="Q50" s="3"/>
      <c r="R50" s="3"/>
      <c r="S50" s="3"/>
      <c r="T50" s="3"/>
    </row>
    <row r="51" spans="1:20" ht="18" customHeight="1" x14ac:dyDescent="0.25">
      <c r="A51" s="3"/>
      <c r="B51" s="2244"/>
      <c r="C51" s="1706" t="s">
        <v>550</v>
      </c>
      <c r="D51" s="1707">
        <f>'R-Definição'!O73</f>
        <v>0</v>
      </c>
      <c r="E51" s="3"/>
      <c r="F51" s="233" t="s">
        <v>227</v>
      </c>
      <c r="G51" s="878">
        <f>H29+H36+H44</f>
        <v>360.06462959023764</v>
      </c>
      <c r="H51" s="878">
        <f>IF($G$52&lt;&gt;0,G51/$G$52*100,0)</f>
        <v>76.945318104215161</v>
      </c>
      <c r="I51" s="3"/>
      <c r="J51" s="3"/>
      <c r="K51" s="3"/>
      <c r="L51" s="3"/>
      <c r="M51" s="3"/>
      <c r="N51" s="3"/>
      <c r="O51" s="3"/>
      <c r="P51" s="3"/>
      <c r="Q51" s="3"/>
      <c r="R51" s="3"/>
      <c r="S51" s="3"/>
      <c r="T51" s="3"/>
    </row>
    <row r="52" spans="1:20" ht="18" customHeight="1" x14ac:dyDescent="0.25">
      <c r="A52" s="3"/>
      <c r="B52" s="2245"/>
      <c r="C52" s="1706" t="s">
        <v>551</v>
      </c>
      <c r="D52" s="1707">
        <f>'R-Definição'!O110</f>
        <v>92.656770833333354</v>
      </c>
      <c r="E52" s="3"/>
      <c r="F52" s="752" t="s">
        <v>53</v>
      </c>
      <c r="G52" s="224">
        <f>SUM(G49:G51)</f>
        <v>467.94871794871801</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92.656770833333354</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29" t="s">
        <v>151</v>
      </c>
      <c r="C55" s="2167"/>
      <c r="D55" s="2129" t="s">
        <v>229</v>
      </c>
      <c r="E55" s="2189"/>
      <c r="F55" s="2189"/>
      <c r="G55" s="2189"/>
      <c r="H55" s="2189"/>
      <c r="I55" s="2189"/>
      <c r="J55" s="2189"/>
      <c r="K55" s="2189"/>
      <c r="L55" s="3"/>
      <c r="M55" s="3"/>
      <c r="N55" s="3"/>
      <c r="O55" s="3"/>
      <c r="P55" s="3"/>
      <c r="Q55" s="3"/>
      <c r="R55" s="3"/>
      <c r="S55" s="3"/>
      <c r="T55" s="3"/>
    </row>
    <row r="56" spans="1:20" ht="18" customHeight="1" x14ac:dyDescent="0.25">
      <c r="A56" s="3"/>
      <c r="B56" s="2167"/>
      <c r="C56" s="2167"/>
      <c r="D56" s="2258" t="s">
        <v>53</v>
      </c>
      <c r="E56" s="2258" t="s">
        <v>185</v>
      </c>
      <c r="F56" s="2259"/>
      <c r="G56" s="2259"/>
      <c r="H56" s="2260" t="s">
        <v>62</v>
      </c>
      <c r="I56" s="2260" t="s">
        <v>188</v>
      </c>
      <c r="J56" s="2260" t="s">
        <v>64</v>
      </c>
      <c r="K56" s="2260" t="s">
        <v>65</v>
      </c>
      <c r="L56" s="3"/>
      <c r="M56" s="3"/>
      <c r="N56" s="3"/>
      <c r="O56" s="3"/>
      <c r="P56" s="3"/>
      <c r="Q56" s="3"/>
      <c r="R56" s="3"/>
      <c r="S56" s="3"/>
      <c r="T56" s="3"/>
    </row>
    <row r="57" spans="1:20" ht="18" customHeight="1" x14ac:dyDescent="0.25">
      <c r="A57" s="3"/>
      <c r="B57" s="2257" t="s">
        <v>28</v>
      </c>
      <c r="C57" s="515" t="s">
        <v>21</v>
      </c>
      <c r="D57" s="2259"/>
      <c r="E57" s="515" t="s">
        <v>80</v>
      </c>
      <c r="F57" s="515" t="s">
        <v>87</v>
      </c>
      <c r="G57" s="515" t="s">
        <v>73</v>
      </c>
      <c r="H57" s="2259"/>
      <c r="I57" s="2259"/>
      <c r="J57" s="2259"/>
      <c r="K57" s="2259"/>
      <c r="L57" s="3"/>
      <c r="M57" s="3"/>
      <c r="N57" s="3"/>
      <c r="O57" s="3"/>
      <c r="P57" s="3"/>
      <c r="Q57" s="3"/>
      <c r="R57" s="3"/>
      <c r="S57" s="3"/>
      <c r="T57" s="3"/>
    </row>
    <row r="58" spans="1:20" ht="18" customHeight="1" x14ac:dyDescent="0.25">
      <c r="A58" s="3"/>
      <c r="B58" s="2257"/>
      <c r="C58" s="233" t="s">
        <v>74</v>
      </c>
      <c r="D58" s="223">
        <f t="shared" ref="D58:D64" si="0">SUM(E58:K58)</f>
        <v>1.9156650641025641</v>
      </c>
      <c r="E58" s="223">
        <f>'R-Definição'!M24</f>
        <v>0</v>
      </c>
      <c r="F58" s="223">
        <f>'R-Definição'!N24</f>
        <v>0</v>
      </c>
      <c r="G58" s="223">
        <f>'R-Definição'!O24</f>
        <v>1.9156650641025641</v>
      </c>
      <c r="H58" s="878"/>
      <c r="I58" s="877"/>
      <c r="J58" s="877"/>
      <c r="K58" s="877"/>
      <c r="L58" s="3"/>
      <c r="M58" s="3"/>
      <c r="N58" s="3"/>
      <c r="O58" s="3"/>
      <c r="P58" s="3"/>
      <c r="Q58" s="3"/>
      <c r="R58" s="3"/>
      <c r="S58" s="3"/>
      <c r="T58" s="3"/>
    </row>
    <row r="59" spans="1:20" ht="18" customHeight="1" x14ac:dyDescent="0.25">
      <c r="A59" s="3"/>
      <c r="B59" s="2257"/>
      <c r="C59" s="233" t="s">
        <v>29</v>
      </c>
      <c r="D59" s="223">
        <f t="shared" si="0"/>
        <v>1.3014823717948718</v>
      </c>
      <c r="E59" s="223">
        <f>'R-Definição'!M25</f>
        <v>0</v>
      </c>
      <c r="F59" s="223">
        <f>'R-Definição'!N25</f>
        <v>0</v>
      </c>
      <c r="G59" s="223">
        <f>'R-Definição'!O25</f>
        <v>1.3014823717948718</v>
      </c>
      <c r="H59" s="879"/>
      <c r="I59" s="880"/>
      <c r="J59" s="880"/>
      <c r="K59" s="880"/>
      <c r="L59" s="3"/>
      <c r="M59" s="3"/>
      <c r="N59" s="3"/>
      <c r="O59" s="3"/>
      <c r="P59" s="3"/>
      <c r="Q59" s="3"/>
      <c r="R59" s="3"/>
      <c r="S59" s="3"/>
      <c r="T59" s="3"/>
    </row>
    <row r="60" spans="1:20" ht="18" customHeight="1" x14ac:dyDescent="0.25">
      <c r="A60" s="3"/>
      <c r="B60" s="2257"/>
      <c r="C60" s="233" t="s">
        <v>78</v>
      </c>
      <c r="D60" s="223">
        <f t="shared" si="0"/>
        <v>0.67267628205128205</v>
      </c>
      <c r="E60" s="223">
        <f>'R-Definição'!M26</f>
        <v>0</v>
      </c>
      <c r="F60" s="223">
        <f>'R-Definição'!N26</f>
        <v>0</v>
      </c>
      <c r="G60" s="223">
        <f>'R-Definição'!O26</f>
        <v>0.67267628205128205</v>
      </c>
      <c r="H60" s="878"/>
      <c r="I60" s="877"/>
      <c r="J60" s="877"/>
      <c r="K60" s="877"/>
      <c r="L60" s="3"/>
      <c r="M60" s="3"/>
      <c r="N60" s="3"/>
      <c r="O60" s="3"/>
      <c r="P60" s="3"/>
      <c r="Q60" s="3"/>
      <c r="R60" s="3"/>
      <c r="S60" s="3"/>
      <c r="T60" s="3"/>
    </row>
    <row r="61" spans="1:20" ht="18" customHeight="1" x14ac:dyDescent="0.25">
      <c r="A61" s="3"/>
      <c r="B61" s="2257"/>
      <c r="C61" s="233" t="s">
        <v>31</v>
      </c>
      <c r="D61" s="223">
        <f t="shared" si="0"/>
        <v>0.35096153846153849</v>
      </c>
      <c r="E61" s="223">
        <f>'R-Definição'!M27</f>
        <v>0</v>
      </c>
      <c r="F61" s="223">
        <f>'R-Definição'!N27</f>
        <v>0</v>
      </c>
      <c r="G61" s="223">
        <f>'R-Definição'!O27</f>
        <v>0.35096153846153849</v>
      </c>
      <c r="H61" s="878"/>
      <c r="I61" s="877"/>
      <c r="J61" s="877"/>
      <c r="K61" s="877"/>
      <c r="L61" s="3"/>
      <c r="M61" s="3"/>
      <c r="N61" s="3"/>
      <c r="O61" s="3"/>
      <c r="P61" s="3"/>
      <c r="Q61" s="3"/>
      <c r="R61" s="3"/>
      <c r="S61" s="3"/>
      <c r="T61" s="3"/>
    </row>
    <row r="62" spans="1:20" ht="18" customHeight="1" x14ac:dyDescent="0.25">
      <c r="A62" s="3"/>
      <c r="B62" s="2257"/>
      <c r="C62" s="233" t="s">
        <v>32</v>
      </c>
      <c r="D62" s="223">
        <f t="shared" si="0"/>
        <v>8.7134566269291778</v>
      </c>
      <c r="E62" s="223">
        <f>'R-Definição'!M28</f>
        <v>0</v>
      </c>
      <c r="F62" s="223">
        <f>'R-Definição'!N28</f>
        <v>0</v>
      </c>
      <c r="G62" s="223">
        <f>'R-Definição'!O28</f>
        <v>0.33633814102564102</v>
      </c>
      <c r="H62" s="878"/>
      <c r="I62" s="877"/>
      <c r="J62" s="878">
        <f>'R-Definição'!O107</f>
        <v>8.3771184859035372</v>
      </c>
      <c r="K62" s="877"/>
      <c r="L62" s="3"/>
      <c r="M62" s="3"/>
      <c r="N62" s="3"/>
      <c r="O62" s="3"/>
      <c r="P62" s="3"/>
      <c r="Q62" s="3"/>
      <c r="R62" s="3"/>
      <c r="S62" s="3"/>
      <c r="T62" s="3"/>
    </row>
    <row r="63" spans="1:20" ht="18" customHeight="1" x14ac:dyDescent="0.25">
      <c r="A63" s="3"/>
      <c r="B63" s="2257"/>
      <c r="C63" s="233" t="s">
        <v>84</v>
      </c>
      <c r="D63" s="223">
        <f t="shared" si="0"/>
        <v>2.2730756418076115</v>
      </c>
      <c r="E63" s="223">
        <f>'R-Definição'!M29</f>
        <v>0</v>
      </c>
      <c r="F63" s="223">
        <f>'R-Definição'!N29</f>
        <v>0</v>
      </c>
      <c r="G63" s="223">
        <f>'R-Definição'!O29</f>
        <v>8.7740384615384623E-2</v>
      </c>
      <c r="H63" s="878"/>
      <c r="I63" s="877"/>
      <c r="J63" s="878">
        <f>'R-Definição'!O108</f>
        <v>2.1853352571922269</v>
      </c>
      <c r="K63" s="877"/>
      <c r="L63" s="3"/>
      <c r="M63" s="3"/>
      <c r="N63" s="3"/>
      <c r="O63" s="3"/>
      <c r="P63" s="3"/>
      <c r="Q63" s="3"/>
      <c r="R63" s="3"/>
      <c r="S63" s="3"/>
      <c r="T63" s="3"/>
    </row>
    <row r="64" spans="1:20" ht="18" customHeight="1" x14ac:dyDescent="0.25">
      <c r="A64" s="3"/>
      <c r="B64" s="2257"/>
      <c r="C64" s="753" t="s">
        <v>513</v>
      </c>
      <c r="D64" s="241">
        <f t="shared" si="0"/>
        <v>15.227317525147047</v>
      </c>
      <c r="E64" s="242">
        <f>SUM(E58:E63)</f>
        <v>0</v>
      </c>
      <c r="F64" s="242">
        <f>SUM(F58:F63)</f>
        <v>0</v>
      </c>
      <c r="G64" s="242">
        <f>SUM(G58:G63)</f>
        <v>4.6648637820512828</v>
      </c>
      <c r="H64" s="235"/>
      <c r="I64" s="517"/>
      <c r="J64" s="243">
        <f>SUM(J58:J63)</f>
        <v>10.562453743095764</v>
      </c>
      <c r="K64" s="517"/>
      <c r="L64" s="3"/>
      <c r="M64" s="3"/>
      <c r="N64" s="3"/>
      <c r="O64" s="3"/>
      <c r="P64" s="3"/>
      <c r="Q64" s="3"/>
      <c r="R64" s="3"/>
      <c r="S64" s="3"/>
      <c r="T64" s="3"/>
    </row>
    <row r="65" spans="1:20" ht="18" customHeight="1" x14ac:dyDescent="0.25">
      <c r="A65" s="3"/>
      <c r="B65" s="2257"/>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6"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25">
      <c r="A67" s="3"/>
      <c r="B67" s="2257"/>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25">
      <c r="A68" s="3"/>
      <c r="B68" s="2257"/>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7"/>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25">
      <c r="A70" s="3"/>
      <c r="B70" s="2257"/>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7"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7"/>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25">
      <c r="A73" s="3"/>
      <c r="B73" s="2257"/>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314085.20276568754</v>
      </c>
      <c r="E74" s="873"/>
      <c r="F74" s="873"/>
      <c r="G74" s="873"/>
      <c r="H74" s="874"/>
      <c r="I74" s="873">
        <f>'R-Definição'!O69</f>
        <v>0</v>
      </c>
      <c r="J74" s="873">
        <f>'R-Definição'!O111</f>
        <v>314085.20276568754</v>
      </c>
      <c r="K74" s="873">
        <f>'R-Definição'!J127</f>
        <v>0</v>
      </c>
      <c r="L74" s="3"/>
      <c r="M74" s="3"/>
      <c r="N74" s="3"/>
      <c r="O74" s="3"/>
      <c r="P74" s="3"/>
      <c r="Q74" s="3"/>
      <c r="R74" s="3"/>
      <c r="S74" s="3"/>
      <c r="T74" s="3"/>
    </row>
    <row r="75" spans="1:20" ht="18" customHeight="1" x14ac:dyDescent="0.25">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4" t="str">
        <f>IF('R-Entrada'!D2&lt;&gt;0,'R-Entrada'!D2,"")</f>
        <v>CIRSOP - Consórcio RSU Oeste Paulista</v>
      </c>
      <c r="E2" s="2174"/>
      <c r="F2" s="2174"/>
      <c r="G2" s="2174"/>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4" t="str">
        <f>IF('R-Entrada'!D3&lt;&gt;0,'R-Entrada'!D3,"")</f>
        <v>Biodigestão c/ Prod. E. Elétrica</v>
      </c>
      <c r="E3" s="2146"/>
      <c r="F3" s="2146"/>
      <c r="G3" s="2146"/>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5" t="s">
        <v>473</v>
      </c>
      <c r="R5" s="2176"/>
      <c r="S5" s="2176"/>
      <c r="T5" s="2176"/>
      <c r="U5" s="2176"/>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28" t="str">
        <f>Apresentação!I2</f>
        <v>RC-RSU V.1.0 - 15/10/2020</v>
      </c>
      <c r="R6" s="2128"/>
      <c r="S6" s="2128"/>
      <c r="T6" s="2176"/>
      <c r="U6" s="2176"/>
      <c r="V6" s="476"/>
      <c r="W6" s="476"/>
      <c r="X6" s="476"/>
      <c r="Y6" s="2266"/>
      <c r="Z6" s="2267"/>
      <c r="AA6" s="2267"/>
      <c r="AB6" s="2267"/>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7"/>
      <c r="Z7" s="2267"/>
      <c r="AA7" s="2267"/>
      <c r="AB7" s="2267"/>
      <c r="AC7" s="476"/>
      <c r="AD7" s="476"/>
      <c r="AE7" s="476"/>
      <c r="AF7" s="476"/>
      <c r="AG7" s="476"/>
      <c r="AH7" s="476"/>
    </row>
    <row r="8" spans="1:34" ht="18" customHeight="1" x14ac:dyDescent="0.25">
      <c r="A8" s="251"/>
      <c r="B8" s="2268" t="s">
        <v>777</v>
      </c>
      <c r="C8" s="2269"/>
      <c r="D8" s="2269"/>
      <c r="E8" s="2269"/>
      <c r="F8" s="834"/>
      <c r="G8" s="834"/>
      <c r="H8" s="834"/>
      <c r="I8" s="834"/>
      <c r="J8" s="835"/>
      <c r="K8" s="438"/>
      <c r="L8" s="195" t="s">
        <v>932</v>
      </c>
      <c r="M8" s="454"/>
      <c r="N8" s="454"/>
      <c r="O8" s="454"/>
      <c r="P8" s="454"/>
      <c r="Q8" s="454"/>
      <c r="R8" s="454"/>
      <c r="S8" s="455"/>
      <c r="T8" s="498"/>
      <c r="U8" s="245"/>
      <c r="V8" s="476"/>
      <c r="W8" s="476"/>
      <c r="X8" s="476"/>
      <c r="Y8" s="2267"/>
      <c r="Z8" s="2267"/>
      <c r="AA8" s="2267"/>
      <c r="AB8" s="2267"/>
      <c r="AC8" s="476"/>
      <c r="AD8" s="476"/>
      <c r="AE8" s="476"/>
      <c r="AF8" s="476"/>
      <c r="AG8" s="476"/>
      <c r="AH8" s="476"/>
    </row>
    <row r="9" spans="1:34" ht="18" customHeight="1" x14ac:dyDescent="0.25">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7"/>
      <c r="Z9" s="2267"/>
      <c r="AA9" s="2267"/>
      <c r="AB9" s="2267"/>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1.9156650641025641</v>
      </c>
      <c r="T10" s="850" t="s">
        <v>21</v>
      </c>
      <c r="U10" s="754"/>
      <c r="V10" s="476"/>
      <c r="W10" s="476"/>
      <c r="X10" s="476"/>
      <c r="Y10" s="2267"/>
      <c r="Z10" s="2267"/>
      <c r="AA10" s="2267"/>
      <c r="AB10" s="2267"/>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1.9741586538461537</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0.35096153846153849</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0.33633814102564102</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8.7740384615384623E-2</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3" t="s">
        <v>800</v>
      </c>
      <c r="AC16" s="2151"/>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10.625000000000002</v>
      </c>
      <c r="R17" s="807" t="s">
        <v>195</v>
      </c>
      <c r="S17" s="839">
        <f>Y18-(SUM(Z18:AC18))</f>
        <v>24.064262820512823</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1.4915865384615383</v>
      </c>
      <c r="T18" s="852" t="s">
        <v>21</v>
      </c>
      <c r="U18" s="754"/>
      <c r="V18" s="476"/>
      <c r="W18" s="507" t="s">
        <v>247</v>
      </c>
      <c r="X18" s="786"/>
      <c r="Y18" s="254">
        <f>'R-Definição'!$D$14+'R-Definição'!$O$32</f>
        <v>24.064262820512823</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1.4915865384615383</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100</v>
      </c>
      <c r="J39" s="255" t="s">
        <v>195</v>
      </c>
      <c r="K39" s="254">
        <f>'R-Definição'!E112</f>
        <v>463.28385416666674</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100</v>
      </c>
      <c r="J40" s="515" t="s">
        <v>195</v>
      </c>
      <c r="K40" s="241">
        <f>SUM(K29:K39)</f>
        <v>463.28385416666674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2" t="s">
        <v>473</v>
      </c>
      <c r="D2" s="2137"/>
      <c r="E2" s="862"/>
      <c r="F2" s="1574" t="s">
        <v>485</v>
      </c>
      <c r="G2" s="2273" t="str">
        <f>IF('R-Definição'!D2&lt;&gt;0,'R-Definição'!D2,"")</f>
        <v>CIRSOP - Consórcio RSU Oeste Paulista</v>
      </c>
      <c r="H2" s="2274"/>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81" t="str">
        <f>Apresentação!I2</f>
        <v>RC-RSU V.1.0 - 15/10/2020</v>
      </c>
      <c r="D3" s="2281"/>
      <c r="E3" s="862"/>
      <c r="F3" s="1575" t="s">
        <v>486</v>
      </c>
      <c r="G3" s="2275" t="str">
        <f>IF('R-Definição'!D3&lt;&gt;0,'R-Definição'!D3,"")</f>
        <v>Biodigestão c/ Prod. E. Elétrica</v>
      </c>
      <c r="H3" s="2276"/>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271.47431449515813</v>
      </c>
      <c r="V7" s="992">
        <f>L59</f>
        <v>0</v>
      </c>
      <c r="W7" s="992">
        <f>L62</f>
        <v>0</v>
      </c>
      <c r="X7" s="992">
        <f>L65</f>
        <v>0</v>
      </c>
      <c r="Y7" s="992">
        <f>L68</f>
        <v>0</v>
      </c>
      <c r="Z7" s="992">
        <f>L71</f>
        <v>3630.3498525901182</v>
      </c>
      <c r="AA7" s="992">
        <f>L74</f>
        <v>100.55830767966967</v>
      </c>
      <c r="AB7" s="1622"/>
    </row>
    <row r="8" spans="1:28" s="2017" customFormat="1" ht="17.649999999999999" customHeight="1" x14ac:dyDescent="0.25">
      <c r="A8" s="1735"/>
      <c r="B8" s="2063" t="s">
        <v>297</v>
      </c>
      <c r="C8" s="2018" t="s">
        <v>298</v>
      </c>
      <c r="D8" s="2019">
        <f>D40</f>
        <v>146000</v>
      </c>
      <c r="E8" s="1735"/>
      <c r="F8" s="2063" t="s">
        <v>562</v>
      </c>
      <c r="G8" s="2018" t="s">
        <v>292</v>
      </c>
      <c r="H8" s="2015">
        <f>O78</f>
        <v>48.499936220826747</v>
      </c>
      <c r="I8" s="1735"/>
      <c r="J8" s="1735"/>
      <c r="K8" s="2016"/>
      <c r="L8" s="1735"/>
      <c r="M8" s="1735"/>
      <c r="N8" s="1735"/>
      <c r="O8" s="1735"/>
      <c r="P8" s="1735"/>
      <c r="Q8" s="1735"/>
      <c r="R8" s="991" t="s">
        <v>300</v>
      </c>
      <c r="S8" s="1623">
        <v>0</v>
      </c>
      <c r="T8" s="993">
        <f>L52</f>
        <v>0</v>
      </c>
      <c r="U8" s="993">
        <f>L55</f>
        <v>2164.8558753351899</v>
      </c>
      <c r="V8" s="993">
        <f>L58</f>
        <v>0</v>
      </c>
      <c r="W8" s="993">
        <f>L61</f>
        <v>0</v>
      </c>
      <c r="X8" s="993">
        <f>L64</f>
        <v>0</v>
      </c>
      <c r="Y8" s="993">
        <f>L67</f>
        <v>0</v>
      </c>
      <c r="Z8" s="993">
        <f>L70</f>
        <v>3655.1889556625174</v>
      </c>
      <c r="AA8" s="993">
        <f>L73</f>
        <v>307.2630963209827</v>
      </c>
      <c r="AB8" s="1622"/>
    </row>
    <row r="9" spans="1:28" s="2017" customFormat="1" ht="17.649999999999999" customHeight="1" x14ac:dyDescent="0.25">
      <c r="A9" s="1735"/>
      <c r="B9" s="2064" t="s">
        <v>558</v>
      </c>
      <c r="C9" s="2020" t="s">
        <v>298</v>
      </c>
      <c r="D9" s="2022">
        <f>D44</f>
        <v>28908.912500000006</v>
      </c>
      <c r="E9" s="1735"/>
      <c r="F9" s="2064" t="s">
        <v>936</v>
      </c>
      <c r="G9" s="2020" t="s">
        <v>292</v>
      </c>
      <c r="H9" s="2023">
        <f>IF('R-Definição'!$E$121="Existente",((D88+D89)*D44+(D89*D11))/1000000,((D85+D88)*D44+(D89*D11))/1000000)</f>
        <v>1.4454456250000003</v>
      </c>
      <c r="I9" s="1735"/>
      <c r="J9" s="1735"/>
      <c r="K9" s="2016"/>
      <c r="L9" s="1735"/>
      <c r="M9" s="1735"/>
      <c r="N9" s="1735"/>
      <c r="O9" s="1735"/>
      <c r="P9" s="1735"/>
      <c r="Q9" s="1735"/>
      <c r="R9" s="991" t="s">
        <v>301</v>
      </c>
      <c r="S9" s="1623">
        <f>L92</f>
        <v>42.800000000000004</v>
      </c>
      <c r="T9" s="992">
        <f>P53</f>
        <v>0</v>
      </c>
      <c r="U9" s="992">
        <f>P56</f>
        <v>53.168040110567048</v>
      </c>
      <c r="V9" s="992">
        <f>P59</f>
        <v>0</v>
      </c>
      <c r="W9" s="992">
        <f>P62</f>
        <v>0</v>
      </c>
      <c r="X9" s="992">
        <f>P65</f>
        <v>0</v>
      </c>
      <c r="Y9" s="992">
        <f>P68</f>
        <v>0</v>
      </c>
      <c r="Z9" s="992">
        <f>P71</f>
        <v>240.75905207619368</v>
      </c>
      <c r="AA9" s="992">
        <f>IF('R-Definição'!E121="Novo",P74,(D44+D46)*D89/D40)</f>
        <v>38.264251791504655</v>
      </c>
      <c r="AB9" s="1622"/>
    </row>
    <row r="10" spans="1:28" s="2017" customFormat="1" ht="17.649999999999999" customHeight="1" x14ac:dyDescent="0.25">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49.945381845826745</v>
      </c>
      <c r="I10" s="1735"/>
      <c r="J10" s="1735"/>
      <c r="K10" s="2016"/>
      <c r="L10" s="1735"/>
      <c r="M10" s="1735"/>
      <c r="N10" s="1735"/>
      <c r="O10" s="1735"/>
      <c r="P10" s="1735"/>
      <c r="Q10" s="1735"/>
      <c r="R10" s="991" t="s">
        <v>302</v>
      </c>
      <c r="S10" s="1623">
        <v>0</v>
      </c>
      <c r="T10" s="993">
        <f>P52</f>
        <v>0</v>
      </c>
      <c r="U10" s="993">
        <f>P55</f>
        <v>423.98539334177423</v>
      </c>
      <c r="V10" s="993">
        <f>P58</f>
        <v>0</v>
      </c>
      <c r="W10" s="993">
        <f>P61</f>
        <v>0</v>
      </c>
      <c r="X10" s="993">
        <f>P64</f>
        <v>0</v>
      </c>
      <c r="Y10" s="993">
        <f>P67</f>
        <v>0</v>
      </c>
      <c r="Z10" s="993">
        <f>P70</f>
        <v>242.40634204905041</v>
      </c>
      <c r="AA10" s="992">
        <f>IF('R-Definição'!E121="Novo",P73,D89)</f>
        <v>116.91915621050606</v>
      </c>
      <c r="AB10" s="1622"/>
    </row>
    <row r="11" spans="1:28" s="2017" customFormat="1" ht="17.649999999999999" customHeight="1" x14ac:dyDescent="0.25">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0</v>
      </c>
      <c r="W11" s="994">
        <f>IF(W12&gt;0,($L45*$D112+$L47*$D111)/(W12*312),0)</f>
        <v>0</v>
      </c>
      <c r="X11" s="994">
        <f>IF(X12&gt;0,($P42*$D114+$P45*$D117)/(X12*312),0)</f>
        <v>0</v>
      </c>
      <c r="Y11" s="994">
        <f>IF(Y12&gt;0,($L48*$D108+$L49*$D109)/(Y12*312),0)</f>
        <v>0</v>
      </c>
      <c r="Z11" s="994">
        <f>IF(Z12&gt;0,($P43*$D114)/(Z12*312),0)</f>
        <v>366.34163838396574</v>
      </c>
      <c r="AA11" s="994">
        <f>IF(AA12&gt;0,($P44*$D114+$P46*$D117)/(AA12*312),0)</f>
        <v>0</v>
      </c>
      <c r="AB11" s="1622"/>
    </row>
    <row r="12" spans="1:28" s="2017" customFormat="1" ht="17.649999999999999" customHeight="1" x14ac:dyDescent="0.25">
      <c r="A12" s="1735"/>
      <c r="B12" s="2063" t="s">
        <v>560</v>
      </c>
      <c r="C12" s="2018" t="s">
        <v>195</v>
      </c>
      <c r="D12" s="2024">
        <f>(D16)/D8</f>
        <v>3.5280184959682943E-2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49.945381845826745</v>
      </c>
      <c r="I12" s="1735"/>
      <c r="J12" s="1735"/>
      <c r="K12" s="2016"/>
      <c r="L12" s="1735"/>
      <c r="M12" s="1735"/>
      <c r="N12" s="1735"/>
      <c r="O12" s="1735"/>
      <c r="P12" s="1735"/>
      <c r="Q12" s="1735"/>
      <c r="R12" s="991" t="s">
        <v>303</v>
      </c>
      <c r="S12" s="1623">
        <f>D38</f>
        <v>467.94871794871796</v>
      </c>
      <c r="T12" s="992">
        <f>$H52/312</f>
        <v>0</v>
      </c>
      <c r="U12" s="992">
        <f>$H55/312</f>
        <v>58.681069197896136</v>
      </c>
      <c r="V12" s="992">
        <f>$H58/312</f>
        <v>0</v>
      </c>
      <c r="W12" s="992">
        <f>$H61/312</f>
        <v>0</v>
      </c>
      <c r="X12" s="992">
        <f>$H64/312</f>
        <v>0</v>
      </c>
      <c r="Y12" s="992">
        <f>$H67/312</f>
        <v>0</v>
      </c>
      <c r="Z12" s="992">
        <f>$H70/312</f>
        <v>464.76873831463683</v>
      </c>
      <c r="AA12" s="992">
        <f>(D44+D46)/312</f>
        <v>92.656770833333354</v>
      </c>
      <c r="AB12" s="1622"/>
    </row>
    <row r="13" spans="1:28" s="2017" customFormat="1" ht="17.649999999999999" customHeight="1" thickBot="1" x14ac:dyDescent="0.3">
      <c r="A13" s="1735"/>
      <c r="B13" s="2065" t="s">
        <v>937</v>
      </c>
      <c r="C13" s="2026" t="s">
        <v>195</v>
      </c>
      <c r="D13" s="2027">
        <f>D16/((SUM('R-Entrada'!G28:G33))*312)</f>
        <v>0.11059619109618475</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342.09165647826535</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5150.9070041137093</v>
      </c>
      <c r="E16" s="65"/>
      <c r="F16" s="2063" t="s">
        <v>565</v>
      </c>
      <c r="G16" s="2031" t="s">
        <v>304</v>
      </c>
      <c r="H16" s="2015">
        <f>K78</f>
        <v>584.3478413156821</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0.26884345917344687</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0</v>
      </c>
      <c r="E18" s="65"/>
      <c r="F18" s="2064" t="s">
        <v>568</v>
      </c>
      <c r="G18" s="2029" t="s">
        <v>305</v>
      </c>
      <c r="H18" s="2022">
        <f>H24*1000000/D40</f>
        <v>5085.8676905689281</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0</v>
      </c>
      <c r="E19" s="65"/>
      <c r="F19" s="2064" t="str">
        <f>J77</f>
        <v>Reinvestimento Total Rota (cada 5 anos)</v>
      </c>
      <c r="G19" s="2033" t="s">
        <v>304</v>
      </c>
      <c r="H19" s="2034">
        <f>K77</f>
        <v>18.037218516484206</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106244.82402383159</v>
      </c>
      <c r="E20" s="65"/>
      <c r="F20" s="2066" t="s">
        <v>571</v>
      </c>
      <c r="G20" s="2035" t="s">
        <v>304</v>
      </c>
      <c r="H20" s="2036">
        <f>K75</f>
        <v>18.244749652566885</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742.53668282306353</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35</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9.5923269327613525E-14</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1109</v>
      </c>
      <c r="C28" s="2033" t="s">
        <v>292</v>
      </c>
      <c r="D28" s="2047">
        <v>1</v>
      </c>
      <c r="E28" s="1735"/>
      <c r="F28" s="2064" t="str">
        <f>'C-FCL Real'!K27</f>
        <v>Índice de Retorno do Inv.: TIR</v>
      </c>
      <c r="G28" s="2033" t="s">
        <v>195</v>
      </c>
      <c r="H28" s="2048">
        <f>'C-FCL Real'!H9</f>
        <v>1.0494649406849641</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1110</v>
      </c>
      <c r="C29" s="2033" t="s">
        <v>304</v>
      </c>
      <c r="D29" s="2047">
        <v>0</v>
      </c>
      <c r="E29" s="1735"/>
      <c r="F29" s="2073" t="str">
        <f>'C-FCL Real'!O26</f>
        <v>Taxa de Lucratividade do Investimento</v>
      </c>
      <c r="G29" s="2049" t="s">
        <v>195</v>
      </c>
      <c r="H29" s="2050">
        <f>'C-FCL Real'!H14</f>
        <v>1.0000000000000002</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1111</v>
      </c>
      <c r="C30" s="2051" t="s">
        <v>304</v>
      </c>
      <c r="D30" s="2052">
        <v>0</v>
      </c>
      <c r="E30" s="1735"/>
      <c r="F30" s="2074" t="s">
        <v>955</v>
      </c>
      <c r="G30" s="2061" t="s">
        <v>311</v>
      </c>
      <c r="H30" s="2062">
        <f>D32*(D8*H33+D31*312*H31)/1000000000</f>
        <v>3.1796478148569483</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116.91915621050606</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1113</v>
      </c>
      <c r="G32" s="2007" t="s">
        <v>1106</v>
      </c>
      <c r="H32" s="2079">
        <f>'C-Calc Tarifa'!M32</f>
        <v>48.770997112590919</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1105</v>
      </c>
      <c r="C33" s="2008" t="s">
        <v>295</v>
      </c>
      <c r="D33" s="2009">
        <v>545.44961638466214</v>
      </c>
      <c r="E33" s="1079"/>
      <c r="F33" s="2078" t="s">
        <v>1107</v>
      </c>
      <c r="G33" s="2055" t="s">
        <v>295</v>
      </c>
      <c r="H33" s="2056">
        <v>607.24899876865459</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5150.9070041137093</v>
      </c>
      <c r="I36" s="151"/>
      <c r="J36" s="1520" t="s">
        <v>898</v>
      </c>
      <c r="K36" s="271" t="s">
        <v>298</v>
      </c>
      <c r="L36" s="1531">
        <f>('R-Resumo Bal. Massa'!F58+'R-Resumo Bal. Massa'!G58)*312*D48/D8</f>
        <v>648.00727901853816</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0.97182438161599816</v>
      </c>
      <c r="E37" s="151"/>
      <c r="F37" s="1520" t="s">
        <v>892</v>
      </c>
      <c r="G37" s="1483" t="s">
        <v>298</v>
      </c>
      <c r="H37" s="1531">
        <f>L48</f>
        <v>0</v>
      </c>
      <c r="I37" s="151"/>
      <c r="J37" s="1520" t="s">
        <v>899</v>
      </c>
      <c r="K37" s="1483" t="s">
        <v>298</v>
      </c>
      <c r="L37" s="1531">
        <f>('R-Resumo Bal. Massa'!F59+'R-Resumo Bal. Massa'!G59)*312*D48/D8</f>
        <v>440.24922009656404</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227.54454072406682</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12166.666666666666</v>
      </c>
      <c r="E39" s="151"/>
      <c r="F39" s="1520" t="s">
        <v>894</v>
      </c>
      <c r="G39" s="1483" t="s">
        <v>298</v>
      </c>
      <c r="H39" s="1531">
        <f>L44+L45</f>
        <v>0</v>
      </c>
      <c r="I39" s="151"/>
      <c r="J39" s="1520" t="s">
        <v>901</v>
      </c>
      <c r="K39" s="1483" t="s">
        <v>298</v>
      </c>
      <c r="L39" s="1531">
        <f>('R-Resumo Bal. Massa'!F61+'R-Resumo Bal. Massa'!G61)*312*D48/D8</f>
        <v>118.71889081255662</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29.679722703139156</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106244.82402383159</v>
      </c>
      <c r="I41" s="151"/>
      <c r="J41" s="1520" t="s">
        <v>903</v>
      </c>
      <c r="K41" s="1483" t="s">
        <v>298</v>
      </c>
      <c r="L41" s="1531">
        <f>('R-Resumo Bal. Massa'!F62+'R-Resumo Bal. Massa'!G62)*312*D48/D8</f>
        <v>113.77227036203341</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739.22794766830589</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2833.7071327285062</v>
      </c>
      <c r="M43" s="151"/>
      <c r="N43" s="1520" t="s">
        <v>921</v>
      </c>
      <c r="O43" s="1483" t="s">
        <v>306</v>
      </c>
      <c r="P43" s="1531">
        <f>'R-Resumo Bal. Massa'!J74*312/1000*D48/D8</f>
        <v>106244.82402383159</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28908.912500000006</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1120</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collapsed="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hidden="1"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hidden="1"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hidden="1"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hidden="1" customHeight="1" outlineLevel="1" x14ac:dyDescent="0.25">
      <c r="A55" s="44"/>
      <c r="B55" s="1520" t="s">
        <v>583</v>
      </c>
      <c r="C55" s="1483" t="s">
        <v>760</v>
      </c>
      <c r="D55" s="1565">
        <v>0</v>
      </c>
      <c r="E55" s="194"/>
      <c r="F55" s="1097" t="s">
        <v>326</v>
      </c>
      <c r="G55" s="1097" t="str">
        <f>'C-Triagem Mec'!L2</f>
        <v>Sim</v>
      </c>
      <c r="H55" s="1097">
        <f>IF('C-Triagem Mec'!D2&gt;0,'C-Triagem Mec'!H2,0)</f>
        <v>18308.493589743593</v>
      </c>
      <c r="I55" s="679"/>
      <c r="J55" s="1097" t="s">
        <v>326</v>
      </c>
      <c r="K55" s="1624">
        <f>IF('C-Triagem Mec'!$E$7="SIM",'C-Triagem Mec'!$E$19,IF('C-Triagem Mec'!$I$7="SIM",'C-Triagem Mec'!$I$19,IF('C-Triagem Mec'!$M$7="SIM",'C-Triagem Mec'!$M$19,IF('C-Triagem Mec'!$Q$7="SIM",'C-Triagem Mec'!$Q$19,IF('C-Triagem Mec'!$U$7="SIM",'C-Triagem Mec'!$U$19,0)))))</f>
        <v>39.635249916293084</v>
      </c>
      <c r="L55" s="1097">
        <f>IF('C-Triagem Mec'!$E$7="SIM",'C-Triagem Mec'!$E$20,IF('C-Triagem Mec'!$I$7="SIM",'C-Triagem Mec'!$I$20,IF('C-Triagem Mec'!$M$7="SIM",'C-Triagem Mec'!$M$20,IF('C-Triagem Mec'!$Q$7="SIM",'C-Triagem Mec'!$Q$20,IF('C-Triagem Mec'!$U$7="SIM",'C-Triagem Mec'!$U$20,0)))))</f>
        <v>2164.8558753351899</v>
      </c>
      <c r="M55" s="194"/>
      <c r="N55" s="1097" t="s">
        <v>326</v>
      </c>
      <c r="O55" s="1624">
        <f>IF('C-Triagem Mec'!$E$7="SIM",'C-Triagem Mec'!$E$43,IF('C-Triagem Mec'!$I$7="SIM",'C-Triagem Mec'!$I$43,IF('C-Triagem Mec'!$M$7="SIM",'C-Triagem Mec'!$M$43,IF('C-Triagem Mec'!$Q$7="SIM",'C-Triagem Mec'!$Q$43,IF('C-Triagem Mec'!$U$7="SIM",'C-Triagem Mec'!$U$43,0)))))</f>
        <v>7.762533856142789</v>
      </c>
      <c r="P55" s="1097">
        <f>IF('C-Triagem Mec'!$E$7="SIM",'C-Triagem Mec'!$E$42,IF('C-Triagem Mec'!$I$7="SIM",'C-Triagem Mec'!$I$42,IF('C-Triagem Mec'!$M$7="SIM",'C-Triagem Mec'!$M$42,IF('C-Triagem Mec'!$Q$7="SIM",'C-Triagem Mec'!$Q$42,IF('C-Triagem Mec'!$U$7="SIM",'C-Triagem Mec'!$U$42,0)))))</f>
        <v>423.98539334177423</v>
      </c>
      <c r="Q55" s="194"/>
      <c r="R55" s="988"/>
      <c r="S55" s="989"/>
      <c r="T55" s="989"/>
      <c r="U55" s="989"/>
      <c r="V55" s="989"/>
      <c r="W55" s="989"/>
      <c r="X55" s="989"/>
      <c r="Y55" s="989"/>
      <c r="Z55" s="1597"/>
    </row>
    <row r="56" spans="1:26" ht="17.649999999999999" hidden="1"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271.47431449515813</v>
      </c>
      <c r="M56" s="194"/>
      <c r="N56" s="1520" t="s">
        <v>323</v>
      </c>
      <c r="O56" s="278">
        <f>IF(AND(H55&gt;0,D98="Não"),((L36*D101)+(L37*D102)+(L38*D103)+(L39*D104)+(L40*D106)+(L41*D105))/$D$40,((L36*D101)+(L37*D102)+(L38*D103)+(L39*D104)+(L40*D106)+(L41*D105))/$D$40*(1-D99))</f>
        <v>0</v>
      </c>
      <c r="P56" s="1506">
        <f>IF(O55&gt;0,O55*1000000/$D$40,0)</f>
        <v>53.168040110567048</v>
      </c>
      <c r="Q56" s="194"/>
      <c r="R56" s="988"/>
      <c r="S56" s="989"/>
      <c r="T56" s="989"/>
      <c r="U56" s="989"/>
      <c r="V56" s="989"/>
      <c r="W56" s="989"/>
      <c r="X56" s="989"/>
      <c r="Y56" s="989"/>
      <c r="Z56" s="1597"/>
    </row>
    <row r="57" spans="1:26" ht="17.649999999999999" hidden="1"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0.73410080542900868</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274.80872915515778</v>
      </c>
      <c r="Q57" s="194"/>
      <c r="R57" s="988"/>
      <c r="S57" s="989"/>
      <c r="T57" s="989"/>
      <c r="U57" s="989"/>
      <c r="V57" s="989"/>
      <c r="W57" s="989"/>
      <c r="X57" s="989"/>
      <c r="Y57" s="989"/>
      <c r="Z57" s="1597"/>
    </row>
    <row r="58" spans="1:26" ht="17.649999999999999" hidden="1" customHeight="1" outlineLevel="1" x14ac:dyDescent="0.25">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649999999999999" hidden="1"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649999999999999" hidden="1" customHeight="1" outlineLevel="1" x14ac:dyDescent="0.25">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649999999999999" hidden="1" customHeight="1" outlineLevel="1" x14ac:dyDescent="0.25">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649999999999999" hidden="1"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649999999999999" hidden="1" customHeight="1" outlineLevel="1" x14ac:dyDescent="0.25">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649999999999999" hidden="1" customHeight="1" outlineLevel="1" x14ac:dyDescent="0.25">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649999999999999" hidden="1"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649999999999999" hidden="1" customHeight="1" outlineLevel="1" x14ac:dyDescent="0.25">
      <c r="A66" s="37"/>
      <c r="B66" s="1520" t="s">
        <v>761</v>
      </c>
      <c r="C66" s="2279" t="s">
        <v>330</v>
      </c>
      <c r="D66" s="2280"/>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649999999999999" hidden="1" customHeight="1" outlineLevel="1" x14ac:dyDescent="0.25">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649999999999999" hidden="1"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649999999999999" hidden="1" customHeight="1" outlineLevel="1" x14ac:dyDescent="0.25">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649999999999999" hidden="1" customHeight="1" outlineLevel="1" x14ac:dyDescent="0.25">
      <c r="A70" s="34"/>
      <c r="B70" s="1520" t="s">
        <v>606</v>
      </c>
      <c r="C70" s="1483" t="s">
        <v>328</v>
      </c>
      <c r="D70" s="1567">
        <v>100000</v>
      </c>
      <c r="E70" s="194"/>
      <c r="F70" s="1097" t="s">
        <v>64</v>
      </c>
      <c r="G70" s="1097" t="str">
        <f>'C-Incineração'!L2</f>
        <v>Sim</v>
      </c>
      <c r="H70" s="1097">
        <f>IF('C-Incineração'!D2&gt;0,'C-Incineração'!H2,0)</f>
        <v>145007.84635416669</v>
      </c>
      <c r="I70" s="679"/>
      <c r="J70" s="1097" t="s">
        <v>64</v>
      </c>
      <c r="K70" s="1624">
        <f>IF('C-Incineração'!$E$7="SIM",'C-Incineração'!$E$19,IF('C-Incineração'!$I$7="SIM",'C-Incineração'!$I$19,IF('C-Incineração'!$M$7="SIM",'C-Incineração'!$M$19,IF('C-Incineração'!$Q$7="SIM",'C-Incineração'!$Q$19,IF('C-Incineração'!$U$7="SIM",'C-Incineração'!$U$19,0)))))</f>
        <v>530.03107847815727</v>
      </c>
      <c r="L70" s="1097">
        <f>IF('C-Incineração'!$E$7="SIM",'C-Incineração'!$E$20,IF('C-Incineração'!$I$7="SIM",'C-Incineração'!$I$20,IF('C-Incineração'!$M$7="SIM",'C-Incineração'!$M$20,IF('C-Incineração'!$Q$7="SIM",'C-Incineração'!$Q$20,IF('C-Incineração'!$U$7="SIM",'C-Incineração'!$U$20,0)))))</f>
        <v>3655.1889556625174</v>
      </c>
      <c r="M70" s="280"/>
      <c r="N70" s="1097" t="s">
        <v>64</v>
      </c>
      <c r="O70" s="1624">
        <f>IF('C-Incineração'!$E$7="SIM",'C-Incineração'!$E$52,IF('C-Incineração'!$I$7="SIM",'C-Incineração'!$I$52,IF('C-Incineração'!$M$7="SIM",'C-Incineração'!$M$52,IF('C-Incineração'!$Q$7="SIM",'C-Incineração'!$Q$52,IF('C-Incineração'!$U$7="SIM",'C-Incineração'!$U$52,0)))))</f>
        <v>35.150821603124278</v>
      </c>
      <c r="P70" s="1097">
        <f>IF('C-Incineração'!$E$7="SIM",'C-Incineração'!$E$51,IF('C-Incineração'!$I$7="SIM",'C-Incineração'!$I$51,IF('C-Incineração'!$M$7="SIM",'C-Incineração'!$M$51,IF('C-Incineração'!$Q$7="SIM",'C-Incineração'!$Q$51,IF('C-Incineração'!$U$7="SIM",'C-Incineração'!$U$51,0)))))</f>
        <v>242.40634204905041</v>
      </c>
      <c r="Q70" s="194"/>
      <c r="R70" s="988"/>
      <c r="S70" s="989"/>
      <c r="T70" s="989"/>
      <c r="U70" s="989"/>
      <c r="V70" s="989"/>
      <c r="W70" s="989"/>
      <c r="X70" s="989"/>
      <c r="Y70" s="989"/>
      <c r="Z70" s="1597"/>
    </row>
    <row r="71" spans="1:26" ht="17.649999999999999" hidden="1"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3630.3498525901182</v>
      </c>
      <c r="M71" s="281"/>
      <c r="N71" s="1520" t="s">
        <v>323</v>
      </c>
      <c r="O71" s="278">
        <f>IF(H70&gt;0,((P43*D114))/$D$40,0)</f>
        <v>363.85213706791643</v>
      </c>
      <c r="P71" s="1506">
        <f>IF(O70&gt;0,O70*1000000/$D$40,0)</f>
        <v>240.75905207619368</v>
      </c>
      <c r="Q71" s="194"/>
      <c r="R71" s="988"/>
      <c r="S71" s="989"/>
      <c r="T71" s="989"/>
      <c r="U71" s="989"/>
      <c r="V71" s="989"/>
      <c r="W71" s="989"/>
      <c r="X71" s="989"/>
      <c r="Y71" s="989"/>
      <c r="Z71" s="1597"/>
    </row>
    <row r="72" spans="1:26" ht="17.649999999999999" hidden="1" customHeight="1" outlineLevel="1" x14ac:dyDescent="0.25">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17.303117711055197</v>
      </c>
      <c r="L72" s="1551"/>
      <c r="M72" s="281"/>
      <c r="N72" s="1520" t="s">
        <v>325</v>
      </c>
      <c r="O72" s="278">
        <f>IF('C-Incineração'!$E$7="SIM",'C-Incineração'!$E$53,IF('C-Incineração'!$I$7="SIM",'C-Incineração'!$I$53,IF('C-Incineração'!$M$7="SIM",'C-Incineração'!$M$53,IF('C-Incineração'!$Q$7="SIM",'C-Incineração'!$Q$53,IF('C-Incineração'!$U$7="SIM",'C-Incineração'!$U$53,0)))))</f>
        <v>10.791299496284179</v>
      </c>
      <c r="P72" s="1531">
        <f>IF('C-Incineração'!$E$7="SIM",'C-Incineração'!$E$54,IF('C-Incineração'!$I$7="SIM",'C-Incineração'!$I$54,IF('C-Incineração'!$M$7="SIM",'C-Incineração'!$M$54,IF('C-Incineração'!$Q$7="SIM",'C-Incineração'!$Q$54,IF('C-Incineração'!$U$7="SIM",'C-Incineração'!$U$54,0)))))</f>
        <v>167.98761390707426</v>
      </c>
      <c r="Q72" s="194"/>
      <c r="R72" s="988"/>
      <c r="S72" s="989"/>
      <c r="T72" s="989"/>
      <c r="U72" s="989"/>
      <c r="V72" s="989"/>
      <c r="W72" s="989"/>
      <c r="X72" s="989"/>
      <c r="Y72" s="989"/>
      <c r="Z72" s="1597"/>
    </row>
    <row r="73" spans="1:26" ht="17.649999999999999" hidden="1" customHeight="1" outlineLevel="1" x14ac:dyDescent="0.25">
      <c r="A73" s="34"/>
      <c r="B73" s="1520" t="s">
        <v>609</v>
      </c>
      <c r="C73" s="1482" t="s">
        <v>327</v>
      </c>
      <c r="D73" s="1565">
        <v>53</v>
      </c>
      <c r="E73" s="194"/>
      <c r="F73" s="1097" t="s">
        <v>66</v>
      </c>
      <c r="G73" s="1097" t="str">
        <f>'C-Aterro Sanitário'!L2</f>
        <v>Sim</v>
      </c>
      <c r="H73" s="1097">
        <f>IF('C-Aterro Sanitário'!D2&gt;0,'C-Aterro Sanitário'!H2,0)</f>
        <v>47781.569270833337</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14.681512921231771</v>
      </c>
      <c r="L73" s="1097">
        <f>IF('C-Aterro Sanitário'!$E$7="SIM",'C-Aterro Sanitário'!$E$19,IF('C-Aterro Sanitário'!$I$7="SIM",'C-Aterro Sanitário'!$I$19,IF('C-Aterro Sanitário'!$M$7="SIM",'C-Aterro Sanitário'!$M$19,IF('C-Aterro Sanitário'!$Q$7="SIM",'C-Aterro Sanitário'!$Q$19,IF('C-Aterro Sanitário'!$U$7="SIM",'C-Aterro Sanitário'!$U$19,0)))))</f>
        <v>307.2630963209827</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5.586580761559679</v>
      </c>
      <c r="P73" s="1097">
        <f>IF('C-Aterro Sanitário'!$E$7="SIM",'C-Aterro Sanitário'!$E$45,IF('C-Aterro Sanitário'!$I$7="SIM",'C-Aterro Sanitário'!$I$45,IF('C-Aterro Sanitário'!$M$7="SIM",'C-Aterro Sanitário'!$M$45,IF('C-Aterro Sanitário'!$Q$7="SIM",'C-Aterro Sanitário'!$Q$45,IF('C-Aterro Sanitário'!$U$7="SIM",'C-Aterro Sanitário'!$U$45,0)))))</f>
        <v>116.91915621050606</v>
      </c>
      <c r="Q73" s="194"/>
      <c r="R73" s="988"/>
      <c r="S73" s="989"/>
      <c r="T73" s="989"/>
      <c r="U73" s="989"/>
      <c r="V73" s="989"/>
      <c r="W73" s="989"/>
      <c r="X73" s="989"/>
      <c r="Y73" s="989"/>
      <c r="Z73" s="1597"/>
    </row>
    <row r="74" spans="1:26" ht="17.649999999999999" hidden="1"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100.55830767966967</v>
      </c>
      <c r="M74" s="281"/>
      <c r="N74" s="1520" t="s">
        <v>323</v>
      </c>
      <c r="O74" s="278">
        <f>IF(H73&gt;0,((P44*D114+P46*D117))/$D$40,0)</f>
        <v>0</v>
      </c>
      <c r="P74" s="1506">
        <f>IF(O73&gt;0,O73*1000000/$D$40,0)</f>
        <v>38.264251791504655</v>
      </c>
      <c r="Q74" s="194"/>
      <c r="R74" s="988"/>
      <c r="S74" s="989"/>
      <c r="T74" s="989"/>
      <c r="U74" s="989"/>
      <c r="V74" s="989"/>
      <c r="W74" s="989"/>
      <c r="X74" s="989"/>
      <c r="Y74" s="989"/>
      <c r="Z74" s="1597"/>
    </row>
    <row r="75" spans="1:26" ht="17.649999999999999" hidden="1"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18.244749652566885</v>
      </c>
      <c r="L75" s="1531">
        <f>IF(K73&gt;0,K75*1000000/(H73*20),0)</f>
        <v>19.09182759271971</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1.5423080386918107</v>
      </c>
      <c r="P75" s="1531">
        <f>IF('C-Aterro Sanitário'!$E$7="SIM",'C-Aterro Sanitário'!$E$48,IF('C-Aterro Sanitário'!$I$7="SIM",'C-Aterro Sanitário'!$I$48,IF('C-Aterro Sanitário'!$M$7="SIM",'C-Aterro Sanitário'!$M$48,IF('C-Aterro Sanitário'!$Q$7="SIM",'C-Aterro Sanitário'!$Q$48,IF('C-Aterro Sanitário'!$U$7="SIM",'C-Aterro Sanitário'!$U$48,0)))))</f>
        <v>84.640851788360152</v>
      </c>
      <c r="Q75" s="194"/>
      <c r="R75" s="988"/>
      <c r="S75" s="989"/>
      <c r="T75" s="989"/>
      <c r="U75" s="989"/>
      <c r="V75" s="989"/>
      <c r="W75" s="989"/>
      <c r="X75" s="989"/>
      <c r="Y75" s="989"/>
      <c r="Z75" s="1597"/>
    </row>
    <row r="76" spans="1:26" ht="17.649999999999999" hidden="1" customHeight="1" outlineLevel="1" x14ac:dyDescent="0.25">
      <c r="A76" s="47"/>
      <c r="B76" s="1520" t="s">
        <v>612</v>
      </c>
      <c r="C76" s="1483" t="s">
        <v>923</v>
      </c>
      <c r="D76" s="2086">
        <v>1.0780000000000001</v>
      </c>
      <c r="E76" s="194"/>
      <c r="F76" s="1465" t="s">
        <v>336</v>
      </c>
      <c r="G76" s="275">
        <f>IF(K78&lt;&gt;0,(G53*K52+G56*K55+G59*K58+G62*K61+G65*K64+G68*K67+G71*K70+G74*K73)/K78,0)</f>
        <v>0.26884345917344687</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hidden="1" customHeight="1" outlineLevel="1" x14ac:dyDescent="0.25">
      <c r="A77" s="34"/>
      <c r="B77" s="1520" t="s">
        <v>613</v>
      </c>
      <c r="C77" s="1483" t="s">
        <v>923</v>
      </c>
      <c r="D77" s="2086">
        <v>7.26</v>
      </c>
      <c r="E77" s="194"/>
      <c r="F77" s="1465" t="s">
        <v>593</v>
      </c>
      <c r="G77" s="263">
        <f>G54+G57+G60+G63+G66+G69+G72</f>
        <v>108134.72557505166</v>
      </c>
      <c r="H77" s="1561"/>
      <c r="I77" s="864"/>
      <c r="J77" s="1552" t="s">
        <v>337</v>
      </c>
      <c r="K77" s="279">
        <f>K54+K57+K60+K63+K66+K69+K72</f>
        <v>18.037218516484206</v>
      </c>
      <c r="L77" s="1521" t="s">
        <v>338</v>
      </c>
      <c r="M77" s="281"/>
      <c r="N77" s="1520"/>
      <c r="O77" s="1481"/>
      <c r="P77" s="1538"/>
      <c r="Q77" s="194"/>
      <c r="R77" s="988"/>
      <c r="S77" s="989"/>
      <c r="T77" s="989"/>
      <c r="U77" s="989"/>
      <c r="V77" s="989"/>
      <c r="W77" s="989"/>
      <c r="X77" s="989"/>
      <c r="Y77" s="989"/>
      <c r="Z77" s="1597"/>
    </row>
    <row r="78" spans="1:26" ht="17.649999999999999" hidden="1" customHeight="1" outlineLevel="1" thickBot="1" x14ac:dyDescent="0.3">
      <c r="A78" s="34"/>
      <c r="B78" s="2082" t="s">
        <v>1117</v>
      </c>
      <c r="C78" s="869" t="s">
        <v>1116</v>
      </c>
      <c r="D78" s="2087">
        <v>2.2000000000000002</v>
      </c>
      <c r="E78" s="194"/>
      <c r="F78" s="2277" t="s">
        <v>615</v>
      </c>
      <c r="G78" s="2278"/>
      <c r="H78" s="1541">
        <f>'R-Resumo Bal. Massa'!D16*312</f>
        <v>146000.00000000003</v>
      </c>
      <c r="I78" s="679"/>
      <c r="J78" s="1539" t="s">
        <v>339</v>
      </c>
      <c r="K78" s="1540">
        <f>K52+K55+K58+K61+K64+K67+K70+K73</f>
        <v>584.3478413156821</v>
      </c>
      <c r="L78" s="1541">
        <f>K78*1000000/H78</f>
        <v>4002.3824747649446</v>
      </c>
      <c r="M78" s="280"/>
      <c r="N78" s="1539" t="s">
        <v>597</v>
      </c>
      <c r="O78" s="1540">
        <f>O52+O55+O58+O61+O64+O67+O70+O73</f>
        <v>48.499936220826747</v>
      </c>
      <c r="P78" s="1541">
        <f>O78*1000000/H78</f>
        <v>332.19134397826531</v>
      </c>
      <c r="Q78" s="194"/>
      <c r="R78" s="988"/>
      <c r="S78" s="989"/>
      <c r="T78" s="989"/>
      <c r="U78" s="989"/>
      <c r="V78" s="989"/>
      <c r="W78" s="989"/>
      <c r="X78" s="989"/>
      <c r="Y78" s="989"/>
      <c r="Z78" s="1597"/>
    </row>
    <row r="79" spans="1:26" ht="15" hidden="1"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Bot="1" x14ac:dyDescent="0.3">
      <c r="A80" s="41"/>
      <c r="B80" s="148"/>
      <c r="C80" s="261"/>
      <c r="D80" s="261"/>
      <c r="E80" s="725"/>
      <c r="Q80" s="41"/>
      <c r="R80" s="1004"/>
      <c r="S80" s="1005"/>
      <c r="T80" s="1005"/>
      <c r="U80" s="1005"/>
      <c r="V80" s="1005"/>
      <c r="W80" s="1005"/>
      <c r="X80" s="1005"/>
      <c r="Y80" s="1005"/>
      <c r="Z80" s="1603"/>
    </row>
    <row r="81" spans="1:26" ht="17.649999999999999" customHeight="1" collapsed="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hidden="1" customHeight="1" outlineLevel="1" x14ac:dyDescent="0.25">
      <c r="A82" s="36"/>
      <c r="B82" s="1520" t="s">
        <v>616</v>
      </c>
      <c r="C82" s="516" t="s">
        <v>342</v>
      </c>
      <c r="D82" s="1571">
        <v>498</v>
      </c>
      <c r="E82" s="504"/>
      <c r="F82" s="1520" t="s">
        <v>717</v>
      </c>
      <c r="G82" s="1482" t="s">
        <v>292</v>
      </c>
      <c r="H82" s="1543">
        <f>((L36)*D101+(L37)*D102+(L38)*D103+(L39)*D104+(L40+L42)*D105+(L41+L43)*D106)/1000000</f>
        <v>3.9059645541169052</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649999999999999" hidden="1" customHeight="1" outlineLevel="1" x14ac:dyDescent="0.25">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649999999999999" hidden="1" customHeight="1" outlineLevel="1" x14ac:dyDescent="0.25">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649999999999999" hidden="1"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53.122412011915799</v>
      </c>
      <c r="I85" s="151"/>
      <c r="J85" s="1520" t="s">
        <v>628</v>
      </c>
      <c r="K85" s="1482" t="s">
        <v>292</v>
      </c>
      <c r="L85" s="1543">
        <f>IF('R-Definição'!O120="Sim",D85*D43/1000000,0)</f>
        <v>0</v>
      </c>
      <c r="M85" s="504"/>
      <c r="N85" s="1520" t="s">
        <v>720</v>
      </c>
      <c r="O85" s="516" t="s">
        <v>345</v>
      </c>
      <c r="P85" s="1581">
        <f>IF(O55&lt;&gt;0,O55*1000000/(SUM(L36:L41)),0)</f>
        <v>4919.3105019626801</v>
      </c>
      <c r="Q85" s="504"/>
      <c r="R85" s="1006"/>
      <c r="S85" s="989"/>
      <c r="T85" s="989"/>
      <c r="U85" s="989"/>
      <c r="V85" s="989"/>
      <c r="W85" s="989"/>
      <c r="X85" s="989"/>
      <c r="Y85" s="989"/>
      <c r="Z85" s="1597"/>
    </row>
    <row r="86" spans="1:26" ht="17.649999999999999" hidden="1" customHeight="1" outlineLevel="1" x14ac:dyDescent="0.25">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hidden="1"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330.84737940023933</v>
      </c>
      <c r="Q87" s="504"/>
      <c r="R87" s="1006"/>
      <c r="S87" s="989"/>
      <c r="T87" s="989"/>
      <c r="U87" s="989"/>
      <c r="V87" s="989"/>
      <c r="W87" s="989"/>
      <c r="X87" s="989"/>
      <c r="Y87" s="989"/>
      <c r="Z87" s="1597"/>
    </row>
    <row r="88" spans="1:26" ht="17.649999999999999" hidden="1" customHeight="1" outlineLevel="1" x14ac:dyDescent="0.25">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hidden="1"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hidden="1"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hidden="1" customHeight="1" outlineLevel="1" thickTop="1" x14ac:dyDescent="0.25">
      <c r="A91" s="36"/>
      <c r="B91" s="1520"/>
      <c r="C91" s="1722"/>
      <c r="D91" s="1572"/>
      <c r="E91" s="504"/>
      <c r="F91" s="1555" t="s">
        <v>826</v>
      </c>
      <c r="G91" s="266" t="s">
        <v>292</v>
      </c>
      <c r="H91" s="1546">
        <f>SUM(H82:H89)</f>
        <v>57.028376566032705</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649999999999999" hidden="1" customHeight="1" outlineLevel="1" x14ac:dyDescent="0.25">
      <c r="A92" s="36"/>
      <c r="B92" s="1520"/>
      <c r="C92" s="1722"/>
      <c r="D92" s="1572"/>
      <c r="E92" s="504"/>
      <c r="F92" s="1505" t="s">
        <v>347</v>
      </c>
      <c r="G92" s="1482" t="s">
        <v>342</v>
      </c>
      <c r="H92" s="1531">
        <f>H91*1000000/D40</f>
        <v>390.60531894542953</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
      <c r="A93" s="36"/>
      <c r="B93" s="1522"/>
      <c r="C93" s="1508"/>
      <c r="D93" s="2000"/>
      <c r="E93" s="504"/>
      <c r="F93" s="1507" t="s">
        <v>822</v>
      </c>
      <c r="G93" s="1508" t="s">
        <v>929</v>
      </c>
      <c r="H93" s="1547">
        <f>H92*($D$7*30/$D$6)</f>
        <v>13.322492017031015</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899999999999999" hidden="1"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hidden="1" customHeight="1" outlineLevel="1" thickTop="1" thickBot="1" x14ac:dyDescent="0.3">
      <c r="A95" s="41"/>
      <c r="B95" s="2270" t="s">
        <v>886</v>
      </c>
      <c r="C95" s="2271"/>
      <c r="D95" s="2271"/>
      <c r="E95" s="2271"/>
      <c r="F95" s="2271"/>
      <c r="G95" s="2271"/>
      <c r="H95" s="2271"/>
      <c r="I95" s="2271"/>
      <c r="J95" s="2271"/>
      <c r="K95" s="2271"/>
      <c r="L95" s="2272"/>
      <c r="M95" s="41"/>
      <c r="N95" s="41"/>
      <c r="O95" s="41"/>
      <c r="P95" s="41"/>
      <c r="Q95" s="41"/>
      <c r="R95" s="2088"/>
      <c r="S95" s="2089"/>
      <c r="T95" s="2089"/>
      <c r="U95" s="2089"/>
      <c r="V95" s="2089"/>
      <c r="W95" s="2089"/>
      <c r="X95" s="2089"/>
      <c r="Y95" s="2089"/>
      <c r="Z95" s="2090"/>
    </row>
    <row r="96" spans="1:26" s="1717" customFormat="1" ht="10.15" hidden="1"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hidden="1"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hidden="1" customHeight="1" outlineLevel="1" x14ac:dyDescent="0.25">
      <c r="A98" s="36"/>
      <c r="B98" s="1465" t="s">
        <v>1018</v>
      </c>
      <c r="C98" s="265" t="s">
        <v>308</v>
      </c>
      <c r="D98" s="1529" t="s">
        <v>6</v>
      </c>
      <c r="E98" s="504"/>
      <c r="F98" s="1465" t="s">
        <v>624</v>
      </c>
      <c r="G98" s="226" t="s">
        <v>292</v>
      </c>
      <c r="H98" s="1573">
        <f>O78+H9</f>
        <v>49.945381845826745</v>
      </c>
      <c r="I98" s="151"/>
      <c r="J98" s="1465" t="s">
        <v>632</v>
      </c>
      <c r="K98" s="226" t="s">
        <v>292</v>
      </c>
      <c r="L98" s="1573">
        <f>H98+L91</f>
        <v>56.194181845826748</v>
      </c>
      <c r="M98" s="504"/>
      <c r="N98" s="504"/>
      <c r="O98" s="504"/>
      <c r="P98" s="504"/>
      <c r="Q98" s="504"/>
      <c r="R98" s="1006"/>
      <c r="S98" s="989"/>
      <c r="T98" s="989"/>
      <c r="U98" s="989"/>
      <c r="V98" s="989"/>
      <c r="W98" s="989"/>
      <c r="X98" s="989"/>
      <c r="Y98" s="989"/>
      <c r="Z98" s="1597"/>
    </row>
    <row r="99" spans="1:26" ht="17.649999999999999" hidden="1" customHeight="1" outlineLevel="1" thickBot="1" x14ac:dyDescent="0.3">
      <c r="A99" s="36"/>
      <c r="B99" s="1520" t="s">
        <v>1019</v>
      </c>
      <c r="C99" s="1722" t="s">
        <v>195</v>
      </c>
      <c r="D99" s="1781">
        <v>1</v>
      </c>
      <c r="E99" s="504"/>
      <c r="F99" s="1520" t="s">
        <v>624</v>
      </c>
      <c r="G99" s="1482" t="s">
        <v>342</v>
      </c>
      <c r="H99" s="1579">
        <f>H98*1000000/D40</f>
        <v>342.09165647826535</v>
      </c>
      <c r="I99" s="151"/>
      <c r="J99" s="1520" t="s">
        <v>633</v>
      </c>
      <c r="K99" s="1482" t="s">
        <v>342</v>
      </c>
      <c r="L99" s="1579">
        <f>L98*1000000/D40</f>
        <v>384.89165647826536</v>
      </c>
      <c r="M99" s="504"/>
      <c r="N99" s="504"/>
      <c r="O99" s="504"/>
      <c r="P99" s="504"/>
      <c r="Q99" s="504"/>
      <c r="R99" s="1006"/>
      <c r="S99" s="989"/>
      <c r="T99" s="989"/>
      <c r="U99" s="989"/>
      <c r="V99" s="989"/>
      <c r="W99" s="989"/>
      <c r="X99" s="989"/>
      <c r="Y99" s="989"/>
      <c r="Z99" s="1597"/>
    </row>
    <row r="100" spans="1:26" ht="17.649999999999999" hidden="1" customHeight="1" outlineLevel="1" thickTop="1" thickBot="1" x14ac:dyDescent="0.3">
      <c r="A100" s="36"/>
      <c r="B100" s="1520" t="s">
        <v>1059</v>
      </c>
      <c r="C100" s="1728" t="s">
        <v>195</v>
      </c>
      <c r="D100" s="1530">
        <v>0.25</v>
      </c>
      <c r="E100" s="504"/>
      <c r="F100" s="1522" t="s">
        <v>824</v>
      </c>
      <c r="G100" s="1508" t="s">
        <v>929</v>
      </c>
      <c r="H100" s="1580">
        <f>H99*($D$7*30/$D$6)</f>
        <v>11.66782207377295</v>
      </c>
      <c r="I100" s="151"/>
      <c r="J100" s="1522" t="s">
        <v>825</v>
      </c>
      <c r="K100" s="1508" t="s">
        <v>299</v>
      </c>
      <c r="L100" s="1580">
        <f>L99*($D$7*30/$D$6)</f>
        <v>13.127614428542675</v>
      </c>
      <c r="M100" s="504"/>
      <c r="N100" s="504"/>
      <c r="O100" s="504"/>
      <c r="P100" s="504"/>
      <c r="Q100" s="504"/>
      <c r="R100" s="1006"/>
      <c r="S100" s="989"/>
      <c r="T100" s="989"/>
      <c r="U100" s="989"/>
      <c r="V100" s="989"/>
      <c r="W100" s="989"/>
      <c r="X100" s="989"/>
      <c r="Y100" s="989"/>
      <c r="Z100" s="1597"/>
    </row>
    <row r="101" spans="1:26" ht="17.649999999999999" hidden="1"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hidden="1"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hidden="1"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hidden="1"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hidden="1"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hidden="1"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hidden="1"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hidden="1"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hidden="1"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hidden="1"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hidden="1"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hidden="1"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hidden="1"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hidden="1"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hidden="1"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25">
      <c r="B117" s="1520" t="s">
        <v>1057</v>
      </c>
      <c r="C117" s="1482" t="s">
        <v>346</v>
      </c>
      <c r="D117" s="1565">
        <v>1.5</v>
      </c>
    </row>
    <row r="118" spans="1:26" ht="15" hidden="1" customHeight="1" outlineLevel="1" thickBot="1" x14ac:dyDescent="0.3">
      <c r="B118" s="1522" t="s">
        <v>1058</v>
      </c>
      <c r="C118" s="1508" t="s">
        <v>346</v>
      </c>
      <c r="D118" s="1570">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339" t="s">
        <v>971</v>
      </c>
      <c r="C2" s="2339"/>
      <c r="D2" s="2339"/>
      <c r="E2" s="2339"/>
      <c r="F2" s="2339"/>
      <c r="G2" s="2339"/>
      <c r="H2" s="2339"/>
      <c r="I2" s="2339"/>
      <c r="J2" s="2339"/>
      <c r="K2" s="2339"/>
      <c r="L2" s="2339"/>
      <c r="M2" s="2339"/>
      <c r="N2" s="458"/>
      <c r="O2" s="2338" t="s">
        <v>644</v>
      </c>
      <c r="P2" s="2338"/>
      <c r="Q2" s="2338"/>
      <c r="R2" s="2338"/>
      <c r="S2" s="2338"/>
      <c r="T2" s="2338"/>
      <c r="U2" s="2338"/>
      <c r="V2" s="2338"/>
      <c r="W2" s="2338"/>
      <c r="X2" s="2338"/>
      <c r="Y2" s="2338"/>
      <c r="Z2" s="2338"/>
      <c r="AA2" s="2338"/>
      <c r="AB2" s="473"/>
    </row>
    <row r="3" spans="1:28" s="905" customFormat="1" ht="17.649999999999999" customHeight="1" x14ac:dyDescent="0.25">
      <c r="A3" s="903"/>
      <c r="B3" s="2339"/>
      <c r="C3" s="2339"/>
      <c r="D3" s="2339"/>
      <c r="E3" s="2339"/>
      <c r="F3" s="2339"/>
      <c r="G3" s="2339"/>
      <c r="H3" s="2339"/>
      <c r="I3" s="2339"/>
      <c r="J3" s="2339"/>
      <c r="K3" s="2339"/>
      <c r="L3" s="2339"/>
      <c r="M3" s="2339"/>
      <c r="N3" s="904"/>
      <c r="O3" s="2338"/>
      <c r="P3" s="2338"/>
      <c r="Q3" s="2338"/>
      <c r="R3" s="2338"/>
      <c r="S3" s="2338"/>
      <c r="T3" s="2338"/>
      <c r="U3" s="2338"/>
      <c r="V3" s="2338"/>
      <c r="W3" s="2338"/>
      <c r="X3" s="2338"/>
      <c r="Y3" s="2338"/>
      <c r="Z3" s="2338"/>
      <c r="AA3" s="2338"/>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collapsed="1" thickTop="1" x14ac:dyDescent="0.25">
      <c r="A5" s="458"/>
      <c r="B5" s="1501" t="s">
        <v>951</v>
      </c>
      <c r="C5" s="1502" t="s">
        <v>348</v>
      </c>
      <c r="D5" s="1503" t="s">
        <v>289</v>
      </c>
      <c r="E5" s="458"/>
      <c r="F5" s="1514" t="s">
        <v>952</v>
      </c>
      <c r="G5" s="1502" t="s">
        <v>349</v>
      </c>
      <c r="H5" s="1503" t="s">
        <v>350</v>
      </c>
      <c r="I5" s="458"/>
      <c r="J5" s="2320" t="s">
        <v>351</v>
      </c>
      <c r="K5" s="2318" t="s">
        <v>352</v>
      </c>
      <c r="L5" s="458"/>
      <c r="M5" s="459"/>
      <c r="N5" s="458"/>
      <c r="O5" s="2346" t="s">
        <v>877</v>
      </c>
      <c r="P5" s="458"/>
      <c r="Q5" s="2346" t="s">
        <v>878</v>
      </c>
      <c r="R5" s="458"/>
      <c r="S5" s="2346" t="s">
        <v>879</v>
      </c>
      <c r="T5" s="458"/>
      <c r="U5" s="2346" t="s">
        <v>880</v>
      </c>
      <c r="V5" s="458"/>
      <c r="W5" s="2346" t="s">
        <v>881</v>
      </c>
      <c r="X5" s="458"/>
      <c r="Y5" s="2346" t="s">
        <v>887</v>
      </c>
      <c r="Z5" s="458"/>
      <c r="AA5" s="458"/>
      <c r="AB5" s="473"/>
    </row>
    <row r="6" spans="1:28" s="262" customFormat="1" ht="19.899999999999999" hidden="1" customHeight="1" outlineLevel="1" x14ac:dyDescent="0.25">
      <c r="A6" s="458"/>
      <c r="B6" s="1685" t="s">
        <v>645</v>
      </c>
      <c r="C6" s="1646" t="s">
        <v>292</v>
      </c>
      <c r="D6" s="1661">
        <f>D7*D8/1000000</f>
        <v>88.658353820223567</v>
      </c>
      <c r="E6" s="463"/>
      <c r="F6" s="1681" t="s">
        <v>973</v>
      </c>
      <c r="G6" s="1633">
        <f>J7*(1-K7)</f>
        <v>109759.20000000001</v>
      </c>
      <c r="H6" s="1675">
        <f>G6/$G$11</f>
        <v>0.66654521075030615</v>
      </c>
      <c r="I6" s="458"/>
      <c r="J6" s="2321"/>
      <c r="K6" s="2319"/>
      <c r="L6" s="458"/>
      <c r="M6" s="468"/>
      <c r="N6" s="460"/>
      <c r="O6" s="2347"/>
      <c r="P6" s="458"/>
      <c r="Q6" s="2347"/>
      <c r="R6" s="458"/>
      <c r="S6" s="2347"/>
      <c r="T6" s="458"/>
      <c r="U6" s="2347"/>
      <c r="V6" s="458"/>
      <c r="W6" s="2347"/>
      <c r="X6" s="458"/>
      <c r="Y6" s="2347"/>
      <c r="Z6" s="458"/>
      <c r="AA6" s="458"/>
      <c r="AB6" s="473"/>
    </row>
    <row r="7" spans="1:28" s="262" customFormat="1" ht="19.899999999999999" hidden="1" customHeight="1" outlineLevel="1" x14ac:dyDescent="0.25">
      <c r="A7" s="458"/>
      <c r="B7" s="1681" t="s">
        <v>646</v>
      </c>
      <c r="C7" s="1644" t="s">
        <v>342</v>
      </c>
      <c r="D7" s="1662">
        <f>'R&amp;C-Painel de Controle'!H33</f>
        <v>607.24899876865459</v>
      </c>
      <c r="E7" s="463"/>
      <c r="F7" s="1681" t="s">
        <v>974</v>
      </c>
      <c r="G7" s="1633">
        <f>J7*K7</f>
        <v>27439.800000000003</v>
      </c>
      <c r="H7" s="1675">
        <f>G7/$G$11</f>
        <v>0.16663630268757654</v>
      </c>
      <c r="I7" s="458"/>
      <c r="J7" s="2350">
        <f>'R&amp;C-Painel de Controle'!D6/3</f>
        <v>137199</v>
      </c>
      <c r="K7" s="2348">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hidden="1" customHeight="1" outlineLevel="1" thickBot="1" x14ac:dyDescent="0.3">
      <c r="A8" s="458"/>
      <c r="B8" s="1681" t="s">
        <v>647</v>
      </c>
      <c r="C8" s="1644" t="s">
        <v>298</v>
      </c>
      <c r="D8" s="1662">
        <f>'R&amp;C-Painel de Controle'!D8</f>
        <v>146000</v>
      </c>
      <c r="E8" s="463"/>
      <c r="F8" s="1681" t="s">
        <v>975</v>
      </c>
      <c r="G8" s="1676">
        <f>J7/5</f>
        <v>27439.8</v>
      </c>
      <c r="H8" s="1675">
        <f>G8/$G$11</f>
        <v>0.16663630268757654</v>
      </c>
      <c r="I8" s="458"/>
      <c r="J8" s="2351"/>
      <c r="K8" s="2349"/>
      <c r="L8" s="458"/>
      <c r="M8" s="468"/>
      <c r="N8" s="460"/>
      <c r="O8" s="1500">
        <f>(O12-O10)/O10</f>
        <v>1.2145591636766743E-6</v>
      </c>
      <c r="P8" s="460"/>
      <c r="Q8" s="1500">
        <f>(Q12-Q10)/Q10</f>
        <v>-5.8327040398667889E-3</v>
      </c>
      <c r="R8" s="460"/>
      <c r="S8" s="1500">
        <f>(S12-S10)/S10</f>
        <v>-5.8327040398668427E-3</v>
      </c>
      <c r="T8" s="458"/>
      <c r="U8" s="1500">
        <f>(U12-U10)/U10</f>
        <v>2.2914268472023186E-2</v>
      </c>
      <c r="V8" s="458"/>
      <c r="W8" s="1500">
        <f>(W12-W10)/W10</f>
        <v>2.2914268472023186E-2</v>
      </c>
      <c r="X8" s="458"/>
      <c r="Y8" s="1628" t="s">
        <v>338</v>
      </c>
      <c r="Z8" s="458"/>
      <c r="AA8" s="458"/>
      <c r="AB8" s="473"/>
    </row>
    <row r="9" spans="1:28" s="262" customFormat="1" ht="19.899999999999999" hidden="1"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hidden="1"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96.372738832005751</v>
      </c>
      <c r="R10" s="460"/>
      <c r="S10" s="265">
        <f>D8</f>
        <v>146000</v>
      </c>
      <c r="T10" s="458"/>
      <c r="U10" s="265">
        <f>D10*(1+D24)</f>
        <v>22967112.600000001</v>
      </c>
      <c r="V10" s="458"/>
      <c r="W10" s="265">
        <f>D10*(1+D24)</f>
        <v>22967112.600000001</v>
      </c>
      <c r="X10" s="458"/>
      <c r="Y10" s="1499">
        <f>Y7</f>
        <v>0.05</v>
      </c>
      <c r="Z10" s="458"/>
      <c r="AA10" s="458"/>
      <c r="AB10" s="473"/>
    </row>
    <row r="11" spans="1:28" s="262" customFormat="1" ht="19.899999999999999" hidden="1" customHeight="1" outlineLevel="1" thickBot="1" x14ac:dyDescent="0.3">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hidden="1" customHeight="1" outlineLevel="1" thickTop="1" thickBot="1" x14ac:dyDescent="0.3">
      <c r="A12" s="458"/>
      <c r="B12" s="1686" t="s">
        <v>946</v>
      </c>
      <c r="C12" s="1666" t="s">
        <v>327</v>
      </c>
      <c r="D12" s="1667">
        <f>D7/D11</f>
        <v>3.8602307292307851</v>
      </c>
      <c r="E12" s="458"/>
      <c r="F12" s="458"/>
      <c r="G12" s="458"/>
      <c r="H12" s="459"/>
      <c r="I12" s="458"/>
      <c r="J12" s="459"/>
      <c r="K12" s="459"/>
      <c r="L12" s="459"/>
      <c r="M12" s="459"/>
      <c r="N12" s="458"/>
      <c r="O12" s="265">
        <f>O33</f>
        <v>164669</v>
      </c>
      <c r="P12" s="460"/>
      <c r="Q12" s="276">
        <f>Q33</f>
        <v>95.810625168887285</v>
      </c>
      <c r="R12" s="460"/>
      <c r="S12" s="265">
        <f>S33*(1+$D$17+$D$18+$D$19)</f>
        <v>145148.42521017944</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5" hidden="1"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hidden="1"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hidden="1" customHeight="1" outlineLevel="1" x14ac:dyDescent="0.25">
      <c r="A15" s="458"/>
      <c r="B15" s="1687" t="s">
        <v>649</v>
      </c>
      <c r="C15" s="1646" t="s">
        <v>195</v>
      </c>
      <c r="D15" s="1668">
        <v>1</v>
      </c>
      <c r="E15" s="458"/>
      <c r="F15" s="2340" t="s">
        <v>978</v>
      </c>
      <c r="G15" s="2342" t="s">
        <v>195</v>
      </c>
      <c r="H15" s="2344">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hidden="1" customHeight="1" outlineLevel="1" thickBot="1" x14ac:dyDescent="0.3">
      <c r="A16" s="458"/>
      <c r="B16" s="1688" t="s">
        <v>981</v>
      </c>
      <c r="C16" s="1644" t="s">
        <v>292</v>
      </c>
      <c r="D16" s="1669">
        <f>D10*D12*(1-D15)/1000000</f>
        <v>0</v>
      </c>
      <c r="E16" s="458"/>
      <c r="F16" s="2341"/>
      <c r="G16" s="2343"/>
      <c r="H16" s="2345"/>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hidden="1"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hidden="1"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hidden="1"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hidden="1" customHeight="1" outlineLevel="1" x14ac:dyDescent="0.25">
      <c r="A20" s="458"/>
      <c r="B20" s="1687" t="s">
        <v>948</v>
      </c>
      <c r="C20" s="1646" t="s">
        <v>292</v>
      </c>
      <c r="D20" s="1673">
        <f>D10*D12*(1+D17)*(1+D18)*(1+D19)*D15/1000000</f>
        <v>96.372738832005751</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hidden="1" customHeight="1" outlineLevel="1" thickBot="1" x14ac:dyDescent="0.3">
      <c r="A21" s="458"/>
      <c r="B21" s="1684" t="s">
        <v>947</v>
      </c>
      <c r="C21" s="1666" t="s">
        <v>327</v>
      </c>
      <c r="D21" s="1667">
        <f>D20*1000000/D10</f>
        <v>4.1961190555579782</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hidden="1" customHeight="1" outlineLevel="1" thickTop="1" x14ac:dyDescent="0.25">
      <c r="A23" s="458"/>
      <c r="B23" s="1509" t="s">
        <v>950</v>
      </c>
      <c r="C23" s="1510" t="s">
        <v>348</v>
      </c>
      <c r="D23" s="1511" t="s">
        <v>289</v>
      </c>
      <c r="E23" s="458"/>
      <c r="F23" s="2315" t="s">
        <v>941</v>
      </c>
      <c r="G23" s="2316"/>
      <c r="H23" s="2317"/>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hidden="1" customHeight="1" outlineLevel="1" x14ac:dyDescent="0.25">
      <c r="A24" s="458"/>
      <c r="B24" s="1687" t="s">
        <v>949</v>
      </c>
      <c r="C24" s="1646" t="s">
        <v>195</v>
      </c>
      <c r="D24" s="1674">
        <v>0</v>
      </c>
      <c r="E24" s="458"/>
      <c r="F24" s="1683" t="s">
        <v>979</v>
      </c>
      <c r="G24" s="1644" t="s">
        <v>358</v>
      </c>
      <c r="H24" s="1679">
        <f>D26*(D10)/G11</f>
        <v>585.25196535109103</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hidden="1" customHeight="1" outlineLevel="1" thickBot="1" x14ac:dyDescent="0.3">
      <c r="A25" s="458"/>
      <c r="B25" s="1683" t="s">
        <v>982</v>
      </c>
      <c r="C25" s="1644" t="s">
        <v>292</v>
      </c>
      <c r="D25" s="1669">
        <f>D20</f>
        <v>96.372738832005751</v>
      </c>
      <c r="E25" s="458"/>
      <c r="F25" s="1684" t="s">
        <v>980</v>
      </c>
      <c r="G25" s="1666" t="s">
        <v>359</v>
      </c>
      <c r="H25" s="1680">
        <f>H24/12</f>
        <v>48.770997112590919</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hidden="1" customHeight="1" outlineLevel="1" thickTop="1" thickBot="1" x14ac:dyDescent="0.3">
      <c r="A26" s="458"/>
      <c r="B26" s="1684" t="s">
        <v>983</v>
      </c>
      <c r="C26" s="1666" t="s">
        <v>327</v>
      </c>
      <c r="D26" s="1667">
        <f>(D25*1000000/(D8*D11))*(1-D24)</f>
        <v>4.1961190555579782</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31" t="s">
        <v>964</v>
      </c>
      <c r="C29" s="2332"/>
      <c r="D29" s="2332"/>
      <c r="E29" s="2333"/>
      <c r="F29" s="458"/>
      <c r="G29" s="458"/>
      <c r="H29" s="459"/>
      <c r="I29" s="458"/>
      <c r="J29" s="459"/>
      <c r="K29" s="2328" t="s">
        <v>360</v>
      </c>
      <c r="L29" s="2329"/>
      <c r="M29" s="2330"/>
      <c r="N29" s="458"/>
      <c r="O29" s="2334" t="s">
        <v>763</v>
      </c>
      <c r="P29" s="2335"/>
      <c r="Q29" s="2335"/>
      <c r="R29" s="2335"/>
      <c r="S29" s="2335"/>
      <c r="T29" s="2335"/>
      <c r="U29" s="2335"/>
      <c r="V29" s="2335"/>
      <c r="W29" s="2335"/>
      <c r="X29" s="2335"/>
      <c r="Y29" s="2335"/>
      <c r="Z29" s="2335"/>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24" t="s">
        <v>965</v>
      </c>
      <c r="C31" s="2325"/>
      <c r="D31" s="2325"/>
      <c r="E31" s="2325"/>
      <c r="F31" s="2325"/>
      <c r="G31" s="2325"/>
      <c r="H31" s="2325"/>
      <c r="I31" s="2325"/>
      <c r="J31" s="2325"/>
      <c r="K31" s="2325"/>
      <c r="L31" s="1634" t="s">
        <v>361</v>
      </c>
      <c r="M31" s="1634" t="s">
        <v>362</v>
      </c>
      <c r="N31" s="458"/>
      <c r="O31" s="2285" t="s">
        <v>650</v>
      </c>
      <c r="P31" s="458"/>
      <c r="Q31" s="2285" t="s">
        <v>363</v>
      </c>
      <c r="R31" s="458"/>
      <c r="S31" s="2285" t="s">
        <v>651</v>
      </c>
      <c r="T31" s="458"/>
      <c r="U31" s="2285" t="s">
        <v>652</v>
      </c>
      <c r="V31" s="458"/>
      <c r="W31" s="2285" t="s">
        <v>652</v>
      </c>
      <c r="X31" s="458"/>
      <c r="Y31" s="2285" t="s">
        <v>463</v>
      </c>
      <c r="Z31" s="458"/>
      <c r="AA31" s="458"/>
      <c r="AB31" s="473"/>
    </row>
    <row r="32" spans="1:28" s="262" customFormat="1" ht="19.899999999999999" customHeight="1" x14ac:dyDescent="0.25">
      <c r="A32" s="458"/>
      <c r="B32" s="2326"/>
      <c r="C32" s="2325"/>
      <c r="D32" s="2325"/>
      <c r="E32" s="2325"/>
      <c r="F32" s="2325"/>
      <c r="G32" s="2325"/>
      <c r="H32" s="2325"/>
      <c r="I32" s="2325"/>
      <c r="J32" s="2325"/>
      <c r="K32" s="2325"/>
      <c r="L32" s="1635">
        <f>H24</f>
        <v>585.25196535109103</v>
      </c>
      <c r="M32" s="1636">
        <f>H25</f>
        <v>48.770997112590919</v>
      </c>
      <c r="N32" s="461"/>
      <c r="O32" s="2189"/>
      <c r="P32" s="461"/>
      <c r="Q32" s="2189"/>
      <c r="R32" s="461"/>
      <c r="S32" s="2189"/>
      <c r="T32" s="458"/>
      <c r="U32" s="2189"/>
      <c r="V32" s="458"/>
      <c r="W32" s="2189"/>
      <c r="X32" s="458"/>
      <c r="Y32" s="2327"/>
      <c r="Z32" s="458"/>
      <c r="AA32" s="458"/>
      <c r="AB32" s="473"/>
    </row>
    <row r="33" spans="1:28" s="262" customFormat="1" ht="15" customHeight="1" collapsed="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95.810625168887285</v>
      </c>
      <c r="R33" s="458"/>
      <c r="S33" s="265">
        <f>12*S34</f>
        <v>133777.35042412853</v>
      </c>
      <c r="T33" s="458" t="s">
        <v>364</v>
      </c>
      <c r="U33" s="265">
        <f>12*U34</f>
        <v>23493387.184143588</v>
      </c>
      <c r="V33" s="458" t="s">
        <v>365</v>
      </c>
      <c r="W33" s="265">
        <f>12*W34</f>
        <v>23493387.184143588</v>
      </c>
      <c r="X33" s="458" t="s">
        <v>365</v>
      </c>
      <c r="Y33" s="2336">
        <v>0.1</v>
      </c>
      <c r="Z33" s="458"/>
      <c r="AA33" s="458"/>
      <c r="AB33" s="473"/>
    </row>
    <row r="34" spans="1:28" s="262" customFormat="1" ht="34.9" hidden="1" customHeight="1" outlineLevel="1" x14ac:dyDescent="0.25">
      <c r="A34" s="458"/>
      <c r="B34" s="2295" t="s">
        <v>366</v>
      </c>
      <c r="C34" s="2296"/>
      <c r="D34" s="2296"/>
      <c r="E34" s="2296"/>
      <c r="F34" s="2296"/>
      <c r="G34" s="2296"/>
      <c r="H34" s="2296"/>
      <c r="I34" s="2296"/>
      <c r="J34" s="2296"/>
      <c r="K34" s="2296"/>
      <c r="L34" s="2296"/>
      <c r="M34" s="2296"/>
      <c r="N34" s="461"/>
      <c r="O34" s="883"/>
      <c r="P34" s="461"/>
      <c r="Q34" s="883"/>
      <c r="R34" s="461"/>
      <c r="S34" s="265">
        <f>S36+S49+S62+S75+S88</f>
        <v>11148.112535344044</v>
      </c>
      <c r="T34" s="458" t="s">
        <v>367</v>
      </c>
      <c r="U34" s="265">
        <f>U36+U49+U62+U75+U88</f>
        <v>1957782.2653452989</v>
      </c>
      <c r="V34" s="458" t="s">
        <v>368</v>
      </c>
      <c r="W34" s="265">
        <f>W36+W49+W62+W75+W88</f>
        <v>1957782.2653452989</v>
      </c>
      <c r="X34" s="458" t="s">
        <v>368</v>
      </c>
      <c r="Y34" s="2337"/>
      <c r="Z34" s="458"/>
      <c r="AA34" s="458"/>
      <c r="AB34" s="473"/>
    </row>
    <row r="35" spans="1:28" s="262" customFormat="1" ht="25.15" hidden="1" customHeight="1" outlineLevel="1" x14ac:dyDescent="0.25">
      <c r="A35" s="458"/>
      <c r="B35" s="2297" t="s">
        <v>369</v>
      </c>
      <c r="C35" s="2289"/>
      <c r="D35" s="2289"/>
      <c r="E35" s="2298"/>
      <c r="F35" s="2289"/>
      <c r="G35" s="2289"/>
      <c r="H35" s="2289"/>
      <c r="I35" s="2298"/>
      <c r="J35" s="2289"/>
      <c r="K35" s="2289"/>
      <c r="L35" s="2289"/>
      <c r="M35" s="2289"/>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25">
      <c r="A36" s="458"/>
      <c r="B36" s="2297" t="s">
        <v>370</v>
      </c>
      <c r="C36" s="2297" t="s">
        <v>371</v>
      </c>
      <c r="D36" s="2300"/>
      <c r="E36" s="1515"/>
      <c r="F36" s="2288" t="s">
        <v>372</v>
      </c>
      <c r="G36" s="2289"/>
      <c r="H36" s="2290"/>
      <c r="I36" s="881"/>
      <c r="J36" s="2286" t="s">
        <v>970</v>
      </c>
      <c r="K36" s="2287"/>
      <c r="L36" s="2287"/>
      <c r="M36" s="2287"/>
      <c r="N36" s="458"/>
      <c r="O36" s="265">
        <f>O39+O41+O42+O43+O44+O45</f>
        <v>25</v>
      </c>
      <c r="P36" s="467"/>
      <c r="Q36" s="889">
        <f>Q39+Q41+Q42+Q43+Q44+Q45</f>
        <v>1138.4979638470443</v>
      </c>
      <c r="R36" s="458"/>
      <c r="S36" s="2283">
        <f>IF(AND(Q36&lt;&gt;0,O36&lt;&gt;0),Q36/(1+$D$17+$D$18+$D$19)/(($D$25*1000000/$D$8)),0)</f>
        <v>1.5896487555346956</v>
      </c>
      <c r="T36" s="2322" t="s">
        <v>373</v>
      </c>
      <c r="U36" s="2283">
        <f>U39+U41+U42+U43+U44+U45</f>
        <v>250.06604084120022</v>
      </c>
      <c r="V36" s="467" t="s">
        <v>374</v>
      </c>
      <c r="W36" s="2283">
        <f>W39*O39+W41*O41+W42*O42+W43*O43+W44*O44+W45*O45</f>
        <v>250.06604084120022</v>
      </c>
      <c r="X36" s="467" t="s">
        <v>374</v>
      </c>
      <c r="Y36" s="865" t="s">
        <v>375</v>
      </c>
      <c r="Z36" s="458"/>
      <c r="AA36" s="458"/>
      <c r="AB36" s="473"/>
    </row>
    <row r="37" spans="1:28" s="262" customFormat="1" ht="24" hidden="1" customHeight="1" outlineLevel="1" x14ac:dyDescent="0.25">
      <c r="A37" s="458"/>
      <c r="B37" s="2299"/>
      <c r="C37" s="1637" t="s">
        <v>376</v>
      </c>
      <c r="D37" s="1638" t="s">
        <v>377</v>
      </c>
      <c r="E37" s="1516"/>
      <c r="F37" s="2291"/>
      <c r="G37" s="2289"/>
      <c r="H37" s="2290"/>
      <c r="I37" s="882"/>
      <c r="J37" s="2292" t="s">
        <v>378</v>
      </c>
      <c r="K37" s="2293"/>
      <c r="L37" s="2294" t="s">
        <v>379</v>
      </c>
      <c r="M37" s="2293"/>
      <c r="N37" s="458"/>
      <c r="O37" s="886" t="s">
        <v>380</v>
      </c>
      <c r="P37" s="467"/>
      <c r="Q37" s="890">
        <v>0.5</v>
      </c>
      <c r="R37" s="458"/>
      <c r="S37" s="2304"/>
      <c r="T37" s="2323"/>
      <c r="U37" s="2304"/>
      <c r="V37" s="467"/>
      <c r="W37" s="2284"/>
      <c r="X37" s="467"/>
      <c r="Y37" s="893">
        <f>$Y$33</f>
        <v>0.1</v>
      </c>
      <c r="Z37" s="458"/>
      <c r="AA37" s="458"/>
      <c r="AB37" s="473"/>
    </row>
    <row r="38" spans="1:28" s="262" customFormat="1" ht="24" hidden="1" customHeight="1" outlineLevel="1" x14ac:dyDescent="0.25">
      <c r="A38" s="458"/>
      <c r="B38" s="2308">
        <v>1</v>
      </c>
      <c r="C38" s="2308">
        <v>1</v>
      </c>
      <c r="D38" s="2311">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25">
      <c r="A39" s="458"/>
      <c r="B39" s="2309"/>
      <c r="C39" s="2310"/>
      <c r="D39" s="2312"/>
      <c r="E39" s="882"/>
      <c r="F39" s="1694" t="s">
        <v>338</v>
      </c>
      <c r="G39" s="1695">
        <v>5</v>
      </c>
      <c r="H39" s="1696">
        <v>0.35</v>
      </c>
      <c r="I39" s="1516"/>
      <c r="J39" s="1697">
        <f>$L$32*H39*$B$38*$C$38</f>
        <v>204.83818787288186</v>
      </c>
      <c r="K39" s="1698">
        <f>$M$32*H39*$B$38*$C$38</f>
        <v>17.069848989406822</v>
      </c>
      <c r="L39" s="1697">
        <f>J39*$D$38</f>
        <v>256.04773484110234</v>
      </c>
      <c r="M39" s="1698">
        <f>K39*$D$38</f>
        <v>21.337311236758527</v>
      </c>
      <c r="N39" s="458"/>
      <c r="O39" s="887">
        <v>5</v>
      </c>
      <c r="P39" s="467"/>
      <c r="Q39" s="286">
        <f>O39*$Q$37*M39+O39*(1-$Q$37)*K39</f>
        <v>96.01790056541337</v>
      </c>
      <c r="R39" s="458"/>
      <c r="S39" s="891">
        <f>IF(AND(Q39&lt;&gt;0,O39&lt;&gt;0),Q39/(1+$D$17+$D$18+$D$19)/O39/30/(($D$25*1000000/$D$8))*1000,0)</f>
        <v>0.8937784167664955</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25">
      <c r="A40" s="458"/>
      <c r="B40" s="2309"/>
      <c r="C40" s="2310"/>
      <c r="D40" s="2312"/>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25">
      <c r="A41" s="458"/>
      <c r="B41" s="2309"/>
      <c r="C41" s="2310"/>
      <c r="D41" s="2312"/>
      <c r="E41" s="882"/>
      <c r="F41" s="1694">
        <f>G39</f>
        <v>5</v>
      </c>
      <c r="G41" s="1695">
        <v>15</v>
      </c>
      <c r="H41" s="1696">
        <v>0.06</v>
      </c>
      <c r="I41" s="1516"/>
      <c r="J41" s="1697">
        <f>$L$32*(H39+(G41-F41)*H41)*$B$38*$C$38</f>
        <v>555.98936708353642</v>
      </c>
      <c r="K41" s="1698">
        <f>$M$32*(H39+(G41-F41)*H41)*$B$38*$C$38</f>
        <v>46.332447256961373</v>
      </c>
      <c r="L41" s="1697">
        <f t="shared" ref="L41:M45" si="0">J41*$D$38</f>
        <v>694.9867088544205</v>
      </c>
      <c r="M41" s="1698">
        <f t="shared" si="0"/>
        <v>57.915559071201713</v>
      </c>
      <c r="N41" s="458"/>
      <c r="O41" s="887">
        <v>20</v>
      </c>
      <c r="P41" s="467"/>
      <c r="Q41" s="286">
        <f>O41*$Q$37*M41+O41*(1-$Q$37)*K41</f>
        <v>1042.4800632816309</v>
      </c>
      <c r="R41" s="458"/>
      <c r="S41" s="891">
        <f>IF(AND(Q41&lt;&gt;0,O41&lt;&gt;0),Q41/(1+$D$17+$D$18+$D$19)/O41/30/(($D$25*1000000/$D$8))*1000,0)</f>
        <v>2.425969988366202</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25">
      <c r="A42" s="458"/>
      <c r="B42" s="2309"/>
      <c r="C42" s="2310"/>
      <c r="D42" s="2312"/>
      <c r="E42" s="882"/>
      <c r="F42" s="1694">
        <f>G41</f>
        <v>15</v>
      </c>
      <c r="G42" s="1695">
        <v>25</v>
      </c>
      <c r="H42" s="1696">
        <v>0.05</v>
      </c>
      <c r="I42" s="1516"/>
      <c r="J42" s="1697">
        <f>$L$32*(H39+(G41-F41)*H41+(G42-F42)*H42)*$B$38*$C$38</f>
        <v>848.61534975908194</v>
      </c>
      <c r="K42" s="1698">
        <f>$M$32*(H39+(G41-F41)*H41+(G42-F42)*H42)*$B$38*$C$38</f>
        <v>70.717945813256833</v>
      </c>
      <c r="L42" s="1697">
        <f t="shared" si="0"/>
        <v>1060.7691871988525</v>
      </c>
      <c r="M42" s="1698">
        <f t="shared" si="0"/>
        <v>88.397432266571045</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25">
      <c r="A43" s="458"/>
      <c r="B43" s="2309"/>
      <c r="C43" s="2310"/>
      <c r="D43" s="2312"/>
      <c r="E43" s="882"/>
      <c r="F43" s="1694">
        <f>G42</f>
        <v>25</v>
      </c>
      <c r="G43" s="1695">
        <v>35</v>
      </c>
      <c r="H43" s="1696">
        <v>3.5000000000000003E-2</v>
      </c>
      <c r="I43" s="1516"/>
      <c r="J43" s="1697">
        <f>$L$32*(H39+(G41-F41)*H41+(G42-F42)*H42+(G43-F43)*H43)*$B$38*$C$38</f>
        <v>1053.4535376319639</v>
      </c>
      <c r="K43" s="1698">
        <f>$M$32*(H39+(G41-F41)*H41+(G42-F42)*H42+(G43-F43)*H43)*$B$38*$C$38</f>
        <v>87.787794802663655</v>
      </c>
      <c r="L43" s="1697">
        <f t="shared" si="0"/>
        <v>1316.8169220399548</v>
      </c>
      <c r="M43" s="1698">
        <f t="shared" si="0"/>
        <v>109.73474350332957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25">
      <c r="A44" s="458"/>
      <c r="B44" s="2309"/>
      <c r="C44" s="2310"/>
      <c r="D44" s="2312"/>
      <c r="E44" s="882"/>
      <c r="F44" s="1694">
        <f>G43</f>
        <v>35</v>
      </c>
      <c r="G44" s="1695">
        <v>50</v>
      </c>
      <c r="H44" s="1696">
        <f>0.03</f>
        <v>0.03</v>
      </c>
      <c r="I44" s="1516"/>
      <c r="J44" s="1697">
        <f>$L$32*(H39+(G41-F41)*H41+(G42-F42)*H42+(G43-F43)*H43+(G44-F44)*H44)*$B$38*$C$38</f>
        <v>1316.8169220399548</v>
      </c>
      <c r="K44" s="1698">
        <f>$M$32*(H39+(G41-F41)*H41+(G42-F42)*H42+(G43-F43)*H43+(G44-F44)*H44)*$B$38*$C$38</f>
        <v>109.73474350332957</v>
      </c>
      <c r="L44" s="1697">
        <f t="shared" si="0"/>
        <v>1646.0211525499435</v>
      </c>
      <c r="M44" s="1698">
        <f t="shared" si="0"/>
        <v>137.16842937916195</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25">
      <c r="A45" s="458"/>
      <c r="B45" s="2309"/>
      <c r="C45" s="2310"/>
      <c r="D45" s="2312"/>
      <c r="E45" s="882"/>
      <c r="F45" s="1694">
        <f>G44</f>
        <v>50</v>
      </c>
      <c r="G45" s="1695">
        <v>100</v>
      </c>
      <c r="H45" s="1696">
        <v>2.5000000000000001E-2</v>
      </c>
      <c r="I45" s="1516"/>
      <c r="J45" s="1697">
        <f>$L$32*(H39+(G41-F41)*H41+(G42-F42)*H42+(G43-F43)*H43+(G44-F44)*H44+(G45-F45)*H45)*$B$38*$C$38</f>
        <v>2048.3818787288187</v>
      </c>
      <c r="K45" s="1698">
        <f>$M$32*(H39+(G41-F41)*H41+(G42-F42)*H42+(G43-F43)*H43+(G44-F44)*H44+(G45-F45)*H45)*$B$38*$C$38</f>
        <v>170.69848989406822</v>
      </c>
      <c r="L45" s="1697">
        <f t="shared" si="0"/>
        <v>2560.4773484110233</v>
      </c>
      <c r="M45" s="1698">
        <f t="shared" si="0"/>
        <v>213.37311236758526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hidden="1"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hidden="1" customHeight="1" outlineLevel="1" x14ac:dyDescent="0.25">
      <c r="A47" s="458"/>
      <c r="B47" s="2295" t="s">
        <v>385</v>
      </c>
      <c r="C47" s="2296"/>
      <c r="D47" s="2296"/>
      <c r="E47" s="2296"/>
      <c r="F47" s="2296"/>
      <c r="G47" s="2296"/>
      <c r="H47" s="2296"/>
      <c r="I47" s="2296"/>
      <c r="J47" s="2296"/>
      <c r="K47" s="2296"/>
      <c r="L47" s="2296"/>
      <c r="M47" s="2296"/>
      <c r="N47" s="461"/>
      <c r="O47" s="458"/>
      <c r="P47" s="461"/>
      <c r="Q47" s="458"/>
      <c r="R47" s="461"/>
      <c r="S47" s="458"/>
      <c r="T47" s="458"/>
      <c r="U47" s="458"/>
      <c r="V47" s="458"/>
      <c r="W47" s="459"/>
      <c r="X47" s="458"/>
      <c r="Y47" s="459"/>
      <c r="Z47" s="458"/>
      <c r="AA47" s="458"/>
      <c r="AB47" s="473"/>
    </row>
    <row r="48" spans="1:28" s="1656" customFormat="1" ht="25.15" hidden="1" customHeight="1" outlineLevel="1" x14ac:dyDescent="0.45">
      <c r="A48" s="1649"/>
      <c r="B48" s="2297" t="s">
        <v>369</v>
      </c>
      <c r="C48" s="2289"/>
      <c r="D48" s="2289"/>
      <c r="E48" s="2298"/>
      <c r="F48" s="2289"/>
      <c r="G48" s="2289"/>
      <c r="H48" s="2289"/>
      <c r="I48" s="2298"/>
      <c r="J48" s="2289"/>
      <c r="K48" s="2289"/>
      <c r="L48" s="2289"/>
      <c r="M48" s="2289"/>
      <c r="N48" s="1650"/>
      <c r="O48" s="1651">
        <f>G6</f>
        <v>109759.20000000001</v>
      </c>
      <c r="P48" s="1652"/>
      <c r="Q48" s="1653"/>
      <c r="R48" s="1650"/>
      <c r="S48" s="1653"/>
      <c r="T48" s="1649"/>
      <c r="U48" s="1649"/>
      <c r="V48" s="1649"/>
      <c r="W48" s="1654"/>
      <c r="X48" s="1649"/>
      <c r="Y48" s="1654"/>
      <c r="Z48" s="1649"/>
      <c r="AA48" s="1649"/>
      <c r="AB48" s="1655"/>
    </row>
    <row r="49" spans="1:28" s="262" customFormat="1" ht="43.9" hidden="1" customHeight="1" outlineLevel="1" x14ac:dyDescent="0.25">
      <c r="A49" s="458"/>
      <c r="B49" s="2297" t="s">
        <v>370</v>
      </c>
      <c r="C49" s="2297" t="s">
        <v>371</v>
      </c>
      <c r="D49" s="2300"/>
      <c r="E49" s="1515"/>
      <c r="F49" s="2288" t="s">
        <v>372</v>
      </c>
      <c r="G49" s="2289"/>
      <c r="H49" s="2290"/>
      <c r="I49" s="881"/>
      <c r="J49" s="2286" t="s">
        <v>970</v>
      </c>
      <c r="K49" s="2287"/>
      <c r="L49" s="2287"/>
      <c r="M49" s="2287"/>
      <c r="N49" s="458"/>
      <c r="O49" s="265">
        <f>O52+O54+O55+O56+O57+O58</f>
        <v>109759</v>
      </c>
      <c r="P49" s="467"/>
      <c r="Q49" s="895">
        <f>Q52+Q54+Q55+Q56+Q57+Q58</f>
        <v>4389478.8996122796</v>
      </c>
      <c r="R49" s="458"/>
      <c r="S49" s="2303">
        <f>IF(AND(Q49&lt;&gt;0,O49&lt;&gt;0),Q49/(1+$D$17+$D$18+$D$19)/(($D$25*1000000/$D$8)),0)</f>
        <v>6128.8907769640191</v>
      </c>
      <c r="T49" s="2322" t="s">
        <v>373</v>
      </c>
      <c r="U49" s="2283">
        <f>U52+U54+U55+U56+U57+U58</f>
        <v>964129.62046324741</v>
      </c>
      <c r="V49" s="467" t="s">
        <v>374</v>
      </c>
      <c r="W49" s="2301">
        <f>W52*O52+W54*O54+W55*O55+W56*O56+W57*O57+W58*O58</f>
        <v>964129.62046324741</v>
      </c>
      <c r="X49" s="467" t="s">
        <v>374</v>
      </c>
      <c r="Y49" s="865" t="s">
        <v>375</v>
      </c>
      <c r="Z49" s="458"/>
      <c r="AA49" s="458"/>
      <c r="AB49" s="473"/>
    </row>
    <row r="50" spans="1:28" s="262" customFormat="1" ht="24" hidden="1" customHeight="1" outlineLevel="1" x14ac:dyDescent="0.25">
      <c r="A50" s="458"/>
      <c r="B50" s="2299"/>
      <c r="C50" s="1637" t="s">
        <v>376</v>
      </c>
      <c r="D50" s="1638" t="s">
        <v>377</v>
      </c>
      <c r="E50" s="1516"/>
      <c r="F50" s="2291"/>
      <c r="G50" s="2289"/>
      <c r="H50" s="2290"/>
      <c r="I50" s="882"/>
      <c r="J50" s="2292" t="s">
        <v>378</v>
      </c>
      <c r="K50" s="2293"/>
      <c r="L50" s="2294" t="s">
        <v>379</v>
      </c>
      <c r="M50" s="2293"/>
      <c r="N50" s="458"/>
      <c r="O50" s="894" t="s">
        <v>380</v>
      </c>
      <c r="P50" s="467"/>
      <c r="Q50" s="890">
        <v>0.5</v>
      </c>
      <c r="R50" s="458"/>
      <c r="S50" s="2304"/>
      <c r="T50" s="2323"/>
      <c r="U50" s="2304"/>
      <c r="V50" s="467"/>
      <c r="W50" s="2302"/>
      <c r="X50" s="467"/>
      <c r="Y50" s="893">
        <f>$Y$33</f>
        <v>0.1</v>
      </c>
      <c r="Z50" s="458"/>
      <c r="AA50" s="458"/>
      <c r="AB50" s="473"/>
    </row>
    <row r="51" spans="1:28" s="262" customFormat="1" ht="24" hidden="1" customHeight="1" outlineLevel="1" x14ac:dyDescent="0.25">
      <c r="A51" s="458"/>
      <c r="B51" s="2308">
        <v>1</v>
      </c>
      <c r="C51" s="2308">
        <v>1</v>
      </c>
      <c r="D51" s="2311">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25">
      <c r="A52" s="458"/>
      <c r="B52" s="2309"/>
      <c r="C52" s="2310"/>
      <c r="D52" s="2312"/>
      <c r="E52" s="882"/>
      <c r="F52" s="1694" t="s">
        <v>338</v>
      </c>
      <c r="G52" s="1695">
        <v>5</v>
      </c>
      <c r="H52" s="1696">
        <f>0.35-0.05</f>
        <v>0.3</v>
      </c>
      <c r="I52" s="1516"/>
      <c r="J52" s="1697">
        <f>$L$32*H52*$B$51*$C$51</f>
        <v>175.57558960532731</v>
      </c>
      <c r="K52" s="1698">
        <f>$M$32*H52*$B$51*$C$51</f>
        <v>14.631299133777276</v>
      </c>
      <c r="L52" s="1697">
        <f>J52*$D$51</f>
        <v>219.46948700665914</v>
      </c>
      <c r="M52" s="1698">
        <f>K52*$D$51</f>
        <v>18.289123917221595</v>
      </c>
      <c r="N52" s="458"/>
      <c r="O52" s="887">
        <v>76400</v>
      </c>
      <c r="P52" s="467"/>
      <c r="Q52" s="286">
        <f>O52*$Q$50*M52+O52*(1-$Q$50)*K52</f>
        <v>1257560.1605481568</v>
      </c>
      <c r="R52" s="458"/>
      <c r="S52" s="891">
        <f>IF(AND(Q52&lt;&gt;0,O52&lt;&gt;0),Q52/(1+$D$17+$D$18+$D$19)/O52/30/(($D$25*1000000/$D$8))*1000,0)</f>
        <v>0.76609578579985327</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25">
      <c r="A53" s="458"/>
      <c r="B53" s="2309"/>
      <c r="C53" s="2310"/>
      <c r="D53" s="2312"/>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25">
      <c r="A54" s="458"/>
      <c r="B54" s="2309"/>
      <c r="C54" s="2310"/>
      <c r="D54" s="2312"/>
      <c r="E54" s="882"/>
      <c r="F54" s="1694">
        <f>G52</f>
        <v>5</v>
      </c>
      <c r="G54" s="1695">
        <v>15</v>
      </c>
      <c r="H54" s="1696">
        <f>0.08</f>
        <v>0.08</v>
      </c>
      <c r="I54" s="1516"/>
      <c r="J54" s="1697">
        <f>$L$32*(H52+(G54-F54)*H54)*$B$51*$C$51</f>
        <v>643.77716188620013</v>
      </c>
      <c r="K54" s="1698">
        <f>$M$32*(H52+(G54-F54)*H54)*$B$51*$C$51</f>
        <v>53.648096823850018</v>
      </c>
      <c r="L54" s="1697">
        <f t="shared" ref="L54:M58" si="1">J54*$D$51</f>
        <v>804.7214523577502</v>
      </c>
      <c r="M54" s="1698">
        <f t="shared" si="1"/>
        <v>67.060121029812521</v>
      </c>
      <c r="N54" s="458"/>
      <c r="O54" s="887">
        <v>16500</v>
      </c>
      <c r="P54" s="467"/>
      <c r="Q54" s="286">
        <f>O54*$Q$50*M54+O54*(1-$Q$50)*K54</f>
        <v>995842.79729271587</v>
      </c>
      <c r="R54" s="458"/>
      <c r="S54" s="891">
        <f>IF(AND(Q54&lt;&gt;0,O54&lt;&gt;0),Q54/(1+$D$17+$D$18+$D$19)/O54/30/(($D$25*1000000/$D$8))*1000,0)</f>
        <v>2.8090178812661284</v>
      </c>
      <c r="T54" s="467" t="s">
        <v>382</v>
      </c>
      <c r="U54" s="870">
        <f>S54*O54*30*$D$11*(1+$D$24)/1000</f>
        <v>218732.46463941125</v>
      </c>
      <c r="V54" s="467" t="s">
        <v>383</v>
      </c>
      <c r="W54" s="900">
        <f>IF(O54&lt;&gt;0,U54/O54,0)</f>
        <v>13.256513008449167</v>
      </c>
      <c r="X54" s="467" t="s">
        <v>384</v>
      </c>
      <c r="Y54" s="287" t="str">
        <f>IF(O54=0,"-",IF(AND(((F54*(1-$Y$50))&lt;W54),(W54&lt;(G54*(1+$Y$50)))),"OK", "NOK"))</f>
        <v>OK</v>
      </c>
      <c r="Z54" s="151"/>
      <c r="AA54" s="249">
        <f>IF(OR(Y54="OK",Y54="-"),1,0)</f>
        <v>1</v>
      </c>
      <c r="AB54" s="473"/>
    </row>
    <row r="55" spans="1:28" s="262" customFormat="1" ht="24" hidden="1" customHeight="1" outlineLevel="1" x14ac:dyDescent="0.25">
      <c r="A55" s="458"/>
      <c r="B55" s="2309"/>
      <c r="C55" s="2310"/>
      <c r="D55" s="2312"/>
      <c r="E55" s="882"/>
      <c r="F55" s="1694">
        <f>G54</f>
        <v>15</v>
      </c>
      <c r="G55" s="1695">
        <v>25</v>
      </c>
      <c r="H55" s="1696">
        <f>0.0725</f>
        <v>7.2499999999999995E-2</v>
      </c>
      <c r="I55" s="1516"/>
      <c r="J55" s="1697">
        <f>$L$32*(H52+(G54-F54)*H54+(G55-F55)*H55)*$B$51*$C$51</f>
        <v>1068.0848367657413</v>
      </c>
      <c r="K55" s="1698">
        <f>$M$32*(H52+(G54-F54)*H54+(G55-F55)*H55)*$B$51*$C$51</f>
        <v>89.007069730478435</v>
      </c>
      <c r="L55" s="1697">
        <f t="shared" si="1"/>
        <v>1335.1060459571768</v>
      </c>
      <c r="M55" s="1698">
        <f t="shared" si="1"/>
        <v>111.25883716309804</v>
      </c>
      <c r="N55" s="458"/>
      <c r="O55" s="887">
        <v>10000</v>
      </c>
      <c r="P55" s="467"/>
      <c r="Q55" s="286">
        <f>O55*$Q$50*M55+O55*(1-$Q$50)*K55</f>
        <v>1001329.5344678824</v>
      </c>
      <c r="R55" s="458"/>
      <c r="S55" s="891">
        <f>IF(AND(Q55&lt;&gt;0,O55&lt;&gt;0),Q55/(1+$D$17+$D$18+$D$19)/O55/30/(($D$25*1000000/$D$8))*1000,0)</f>
        <v>4.6604160302824402</v>
      </c>
      <c r="T55" s="467" t="s">
        <v>382</v>
      </c>
      <c r="U55" s="870">
        <f>S55*O55*30*$D$11*(1+$D$24)/1000</f>
        <v>219937.60218563391</v>
      </c>
      <c r="V55" s="467" t="s">
        <v>383</v>
      </c>
      <c r="W55" s="901">
        <f>IF(O55&lt;&gt;0,U55/O55,0)</f>
        <v>21.993760218563391</v>
      </c>
      <c r="X55" s="467" t="s">
        <v>384</v>
      </c>
      <c r="Y55" s="287" t="str">
        <f>IF(O55=0,"-",IF(AND(((F55*(1-$Y$50))&lt;W55),(W55&lt;(G55*(1+$Y$50)))),"OK", "NOK"))</f>
        <v>OK</v>
      </c>
      <c r="Z55" s="151"/>
      <c r="AA55" s="249">
        <f>IF(OR(Y55="OK",Y55="-"),1,0)</f>
        <v>1</v>
      </c>
      <c r="AB55" s="473"/>
    </row>
    <row r="56" spans="1:28" s="262" customFormat="1" ht="24" hidden="1" customHeight="1" outlineLevel="1" x14ac:dyDescent="0.25">
      <c r="A56" s="458"/>
      <c r="B56" s="2309"/>
      <c r="C56" s="2310"/>
      <c r="D56" s="2312"/>
      <c r="E56" s="882"/>
      <c r="F56" s="1694">
        <f>G55</f>
        <v>25</v>
      </c>
      <c r="G56" s="1695">
        <v>35</v>
      </c>
      <c r="H56" s="1696">
        <v>6.5000000000000002E-2</v>
      </c>
      <c r="I56" s="1516"/>
      <c r="J56" s="1697">
        <f>$L$32*(H52+(G54-F54)*H54+(G55-F55)*H55+(G56-F56)*H56)*$B$51*$C$51</f>
        <v>1448.4986142439504</v>
      </c>
      <c r="K56" s="1698">
        <f>$M$32*(H52+(G54-F54)*H54+(G55-F55)*H55+(G56-F56)*H56)*$B$51*$C$51</f>
        <v>120.70821785366253</v>
      </c>
      <c r="L56" s="1697">
        <f t="shared" si="1"/>
        <v>1810.623267804938</v>
      </c>
      <c r="M56" s="1698">
        <f t="shared" si="1"/>
        <v>150.88527231707818</v>
      </c>
      <c r="N56" s="458"/>
      <c r="O56" s="887">
        <v>5500</v>
      </c>
      <c r="P56" s="467"/>
      <c r="Q56" s="286">
        <f>O56*$Q$50*M56+O56*(1-$Q$50)*K56</f>
        <v>746882.0979695369</v>
      </c>
      <c r="R56" s="458"/>
      <c r="S56" s="891">
        <f>IF(AND(Q56&lt;&gt;0,O56&lt;&gt;0),Q56/(1+$D$17+$D$18+$D$19)/O56/30/(($D$25*1000000/$D$8))*1000,0)</f>
        <v>6.3202902328487891</v>
      </c>
      <c r="T56" s="467" t="s">
        <v>382</v>
      </c>
      <c r="U56" s="870">
        <f>S56*O56*30*$D$11*(1+$D$24)/1000</f>
        <v>164049.34847955845</v>
      </c>
      <c r="V56" s="467" t="s">
        <v>383</v>
      </c>
      <c r="W56" s="901">
        <f>IF(O56&lt;&gt;0,U56/O56,0)</f>
        <v>29.827154269010627</v>
      </c>
      <c r="X56" s="467" t="s">
        <v>384</v>
      </c>
      <c r="Y56" s="287" t="str">
        <f>IF(O56=0,"-",IF(AND(((F56*(1-$Y$50))&lt;W56),(W56&lt;(G56*(1+$Y$50)))),"OK", "NOK"))</f>
        <v>OK</v>
      </c>
      <c r="Z56" s="151"/>
      <c r="AA56" s="249">
        <f>IF(OR(Y56="OK",Y56="-"),1,0)</f>
        <v>1</v>
      </c>
      <c r="AB56" s="473"/>
    </row>
    <row r="57" spans="1:28" s="262" customFormat="1" ht="24" hidden="1" customHeight="1" outlineLevel="1" x14ac:dyDescent="0.25">
      <c r="A57" s="458"/>
      <c r="B57" s="2309"/>
      <c r="C57" s="2310"/>
      <c r="D57" s="2312"/>
      <c r="E57" s="882"/>
      <c r="F57" s="1694">
        <f>G56</f>
        <v>35</v>
      </c>
      <c r="G57" s="1695">
        <v>50</v>
      </c>
      <c r="H57" s="1696">
        <f>0.06</f>
        <v>0.06</v>
      </c>
      <c r="I57" s="1516"/>
      <c r="J57" s="1697">
        <f>$L$32*(H52+(G54-F54)*H54+(G55-F55)*H55+(G56-F56)*H56+(G57-F57)*H57)*$B$51*$C$51</f>
        <v>1975.2253830599323</v>
      </c>
      <c r="K57" s="1698">
        <f>$M$32*(H52+(G54-F54)*H54+(G55-F55)*H55+(G56-F56)*H56+(G57-F57)*H57)*$B$51*$C$51</f>
        <v>164.60211525499435</v>
      </c>
      <c r="L57" s="1697">
        <f t="shared" si="1"/>
        <v>2469.0317288249153</v>
      </c>
      <c r="M57" s="1698">
        <f t="shared" si="1"/>
        <v>205.75264406874294</v>
      </c>
      <c r="N57" s="458"/>
      <c r="O57" s="887">
        <v>366</v>
      </c>
      <c r="P57" s="467"/>
      <c r="Q57" s="286">
        <f>O57*$Q$50*M57+O57*(1-$Q$50)*K57</f>
        <v>67774.920956243921</v>
      </c>
      <c r="R57" s="458"/>
      <c r="S57" s="891">
        <f>IF(AND(Q57&lt;&gt;0,O57&lt;&gt;0),Q57/(1+$D$17+$D$18+$D$19)/O57/30/(($D$25*1000000/$D$8))*1000,0)</f>
        <v>8.6185775902483481</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25">
      <c r="A58" s="458"/>
      <c r="B58" s="2309"/>
      <c r="C58" s="2310"/>
      <c r="D58" s="2312"/>
      <c r="E58" s="882"/>
      <c r="F58" s="1694">
        <f>G57</f>
        <v>50</v>
      </c>
      <c r="G58" s="1695">
        <v>100</v>
      </c>
      <c r="H58" s="1696">
        <v>0.05</v>
      </c>
      <c r="I58" s="1516"/>
      <c r="J58" s="1697">
        <f>$L$32*(H52+(G54-F54)*H54+(G55-F55)*H55+(G56-F56)*H56+(G57-F57)*H57+(G58-F58)*H58)*$B$51*$C$51</f>
        <v>3438.3552964376599</v>
      </c>
      <c r="K58" s="1698">
        <f>$M$32*(H52+(G54-F54)*H54+(G55-F55)*H55+(G56-F56)*H56+(G57-F57)*H57+(G58-F58)*H58)*$B$51*$C$51</f>
        <v>286.52960803647164</v>
      </c>
      <c r="L58" s="1697">
        <f t="shared" si="1"/>
        <v>4297.9441205470748</v>
      </c>
      <c r="M58" s="1698">
        <f t="shared" si="1"/>
        <v>358.16201004558957</v>
      </c>
      <c r="N58" s="458"/>
      <c r="O58" s="887">
        <v>993</v>
      </c>
      <c r="P58" s="467"/>
      <c r="Q58" s="286">
        <f>O58*$Q$50*M58+O58*(1-$Q$50)*K58</f>
        <v>320089.38837774342</v>
      </c>
      <c r="R58" s="458"/>
      <c r="S58" s="891">
        <f>IF(AND(Q58&lt;&gt;0,O58&lt;&gt;0),Q58/(1+$D$17+$D$18+$D$19)/O58/30/(($D$25*1000000/$D$8))*1000,0)</f>
        <v>15.002709138580462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5" hidden="1"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hidden="1" customHeight="1" outlineLevel="1" x14ac:dyDescent="0.25">
      <c r="A60" s="458"/>
      <c r="B60" s="2295" t="s">
        <v>386</v>
      </c>
      <c r="C60" s="2296"/>
      <c r="D60" s="2296"/>
      <c r="E60" s="2296"/>
      <c r="F60" s="2296"/>
      <c r="G60" s="2296"/>
      <c r="H60" s="2296"/>
      <c r="I60" s="2296"/>
      <c r="J60" s="2296"/>
      <c r="K60" s="2296"/>
      <c r="L60" s="2296"/>
      <c r="M60" s="2296"/>
      <c r="N60" s="461"/>
      <c r="O60" s="458"/>
      <c r="P60" s="461"/>
      <c r="Q60" s="458"/>
      <c r="R60" s="461"/>
      <c r="S60" s="458"/>
      <c r="T60" s="458"/>
      <c r="U60" s="458"/>
      <c r="V60" s="458"/>
      <c r="W60" s="459"/>
      <c r="X60" s="458"/>
      <c r="Y60" s="459"/>
      <c r="Z60" s="458"/>
      <c r="AA60" s="458"/>
      <c r="AB60" s="473"/>
    </row>
    <row r="61" spans="1:28" s="1656" customFormat="1" ht="25.15" hidden="1" customHeight="1" outlineLevel="1" x14ac:dyDescent="0.45">
      <c r="A61" s="1649"/>
      <c r="B61" s="2297" t="s">
        <v>369</v>
      </c>
      <c r="C61" s="2289"/>
      <c r="D61" s="2289"/>
      <c r="E61" s="2298"/>
      <c r="F61" s="2289"/>
      <c r="G61" s="2289"/>
      <c r="H61" s="2289"/>
      <c r="I61" s="2298"/>
      <c r="J61" s="2289"/>
      <c r="K61" s="2289"/>
      <c r="L61" s="2289"/>
      <c r="M61" s="2289"/>
      <c r="N61" s="1650"/>
      <c r="O61" s="1651">
        <f>G7</f>
        <v>27439.800000000003</v>
      </c>
      <c r="P61" s="1652"/>
      <c r="Q61" s="1657"/>
      <c r="R61" s="1650"/>
      <c r="S61" s="1657"/>
      <c r="T61" s="1649"/>
      <c r="U61" s="1649"/>
      <c r="V61" s="1649"/>
      <c r="W61" s="1654"/>
      <c r="X61" s="1649"/>
      <c r="Y61" s="1654"/>
      <c r="Z61" s="1649"/>
      <c r="AA61" s="1649"/>
      <c r="AB61" s="1655"/>
    </row>
    <row r="62" spans="1:28" s="262" customFormat="1" ht="43.9" hidden="1" customHeight="1" outlineLevel="1" x14ac:dyDescent="0.25">
      <c r="A62" s="458"/>
      <c r="B62" s="2297" t="s">
        <v>370</v>
      </c>
      <c r="C62" s="2297" t="s">
        <v>371</v>
      </c>
      <c r="D62" s="2300"/>
      <c r="E62" s="1515"/>
      <c r="F62" s="2288" t="s">
        <v>372</v>
      </c>
      <c r="G62" s="2289"/>
      <c r="H62" s="2290"/>
      <c r="I62" s="881"/>
      <c r="J62" s="2286" t="s">
        <v>970</v>
      </c>
      <c r="K62" s="2287"/>
      <c r="L62" s="2287"/>
      <c r="M62" s="2287"/>
      <c r="N62" s="458"/>
      <c r="O62" s="265">
        <f>O65+O67+O68+O69+O70+O71</f>
        <v>27440</v>
      </c>
      <c r="P62" s="467"/>
      <c r="Q62" s="889">
        <f>Q65+Q67+Q68+Q69+Q70+Q71</f>
        <v>232287.78528652224</v>
      </c>
      <c r="R62" s="458"/>
      <c r="S62" s="2283">
        <f>IF(AND(Q62&lt;&gt;0,O62&lt;&gt;0),Q62/(1+$D$17+$D$18+$D$19)/(($D$25*1000000/$D$8)),0)</f>
        <v>324.33609943305936</v>
      </c>
      <c r="T62" s="2322" t="s">
        <v>373</v>
      </c>
      <c r="U62" s="2283">
        <f>U65+U67+U68+U69+U70+U71</f>
        <v>255104.92177821483</v>
      </c>
      <c r="V62" s="467" t="s">
        <v>374</v>
      </c>
      <c r="W62" s="2283">
        <f>W65*O65+W67*O67+W68*O68+W69*O69+W70*O70+W71*O71</f>
        <v>255104.92177821483</v>
      </c>
      <c r="X62" s="467" t="s">
        <v>374</v>
      </c>
      <c r="Y62" s="865" t="s">
        <v>375</v>
      </c>
      <c r="Z62" s="458"/>
      <c r="AA62" s="458"/>
      <c r="AB62" s="473"/>
    </row>
    <row r="63" spans="1:28" s="262" customFormat="1" ht="24" hidden="1" customHeight="1" outlineLevel="1" x14ac:dyDescent="0.25">
      <c r="A63" s="458"/>
      <c r="B63" s="2299"/>
      <c r="C63" s="1637" t="s">
        <v>376</v>
      </c>
      <c r="D63" s="1638" t="s">
        <v>377</v>
      </c>
      <c r="E63" s="1516"/>
      <c r="F63" s="2291"/>
      <c r="G63" s="2289"/>
      <c r="H63" s="2290"/>
      <c r="I63" s="882"/>
      <c r="J63" s="2292" t="s">
        <v>378</v>
      </c>
      <c r="K63" s="2293"/>
      <c r="L63" s="2294" t="s">
        <v>379</v>
      </c>
      <c r="M63" s="2293"/>
      <c r="N63" s="458"/>
      <c r="O63" s="894" t="s">
        <v>380</v>
      </c>
      <c r="P63" s="467"/>
      <c r="Q63" s="890">
        <v>0.25</v>
      </c>
      <c r="R63" s="458"/>
      <c r="S63" s="2304"/>
      <c r="T63" s="2323"/>
      <c r="U63" s="2304"/>
      <c r="V63" s="467"/>
      <c r="W63" s="2284"/>
      <c r="X63" s="467"/>
      <c r="Y63" s="893">
        <f>$Y$33</f>
        <v>0.1</v>
      </c>
      <c r="Z63" s="458"/>
      <c r="AA63" s="458"/>
      <c r="AB63" s="473"/>
    </row>
    <row r="64" spans="1:28" s="262" customFormat="1" ht="24" hidden="1" customHeight="1" outlineLevel="1" x14ac:dyDescent="0.25">
      <c r="A64" s="458"/>
      <c r="B64" s="2305">
        <f>B51*$H$15</f>
        <v>0.2</v>
      </c>
      <c r="C64" s="2305">
        <f>C51</f>
        <v>1</v>
      </c>
      <c r="D64" s="2305">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25">
      <c r="A65" s="458"/>
      <c r="B65" s="2306"/>
      <c r="C65" s="2306"/>
      <c r="D65" s="2306"/>
      <c r="E65" s="882"/>
      <c r="F65" s="1694" t="s">
        <v>338</v>
      </c>
      <c r="G65" s="1699">
        <f>G52</f>
        <v>5</v>
      </c>
      <c r="H65" s="1700">
        <f>H52</f>
        <v>0.3</v>
      </c>
      <c r="I65" s="1516"/>
      <c r="J65" s="1701">
        <f>$L$32*H65*$B$64*$C$64</f>
        <v>35.115117921065462</v>
      </c>
      <c r="K65" s="1698">
        <f>$M$32*H65*$B$64*$C$64</f>
        <v>2.9262598267554552</v>
      </c>
      <c r="L65" s="1697">
        <f>J65*$D$51</f>
        <v>43.893897401331827</v>
      </c>
      <c r="M65" s="1698">
        <f>K65*$D$51</f>
        <v>3.6578247834443189</v>
      </c>
      <c r="N65" s="458"/>
      <c r="O65" s="887">
        <v>15000</v>
      </c>
      <c r="P65" s="467"/>
      <c r="Q65" s="286">
        <f>O65*$Q$63*M65+O65*(1-$Q$63)*K65</f>
        <v>46637.265988915067</v>
      </c>
      <c r="R65" s="458"/>
      <c r="S65" s="891">
        <f>IF(AND(Q65&lt;&gt;0,O65&lt;&gt;0),Q65/(1+$D$17+$D$18+$D$19)/$H$15/O65/30/(($D$25*1000000/$D$8))*1000,0)</f>
        <v>0.72353490881097249</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hidden="1" customHeight="1" outlineLevel="1" x14ac:dyDescent="0.25">
      <c r="A66" s="458"/>
      <c r="B66" s="2306"/>
      <c r="C66" s="2306"/>
      <c r="D66" s="2306"/>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25">
      <c r="A67" s="458"/>
      <c r="B67" s="2306"/>
      <c r="C67" s="2306"/>
      <c r="D67" s="2306"/>
      <c r="E67" s="882"/>
      <c r="F67" s="1694">
        <f>G65</f>
        <v>5</v>
      </c>
      <c r="G67" s="1699">
        <f t="shared" ref="G67:H71" si="2">G54</f>
        <v>15</v>
      </c>
      <c r="H67" s="1700">
        <f t="shared" si="2"/>
        <v>0.08</v>
      </c>
      <c r="I67" s="1516"/>
      <c r="J67" s="1701">
        <f>$L$32*(H65+(G67-F67)*H67)*$B$64*$C$64</f>
        <v>128.75543237724003</v>
      </c>
      <c r="K67" s="1698">
        <f>$M$32*(H65+(G67-F67)*H67)*$B$64*$C$64</f>
        <v>10.729619364770004</v>
      </c>
      <c r="L67" s="1697">
        <f t="shared" ref="L67:M71" si="3">J67*$D$51</f>
        <v>160.94429047155003</v>
      </c>
      <c r="M67" s="1698">
        <f t="shared" si="3"/>
        <v>13.412024205962505</v>
      </c>
      <c r="N67" s="458"/>
      <c r="O67" s="887">
        <v>8400</v>
      </c>
      <c r="P67" s="467"/>
      <c r="Q67" s="286">
        <f>O67*$Q$63*M67+O67*(1-$Q$63)*K67</f>
        <v>95761.852830572287</v>
      </c>
      <c r="R67" s="458"/>
      <c r="S67" s="891">
        <f>IF(AND(Q67&lt;&gt;0,O67&lt;&gt;0),Q67/(1+$D$17+$D$18+$D$19)/$H$15/O67/30/(($D$25*1000000/$D$8))*1000,0)</f>
        <v>2.6529613323068997</v>
      </c>
      <c r="T67" s="467" t="s">
        <v>382</v>
      </c>
      <c r="U67" s="870">
        <f>S67*O67*30*$D$11*(1+$D$24)/1000</f>
        <v>105168.33653369674</v>
      </c>
      <c r="V67" s="467" t="s">
        <v>383</v>
      </c>
      <c r="W67" s="870">
        <f>IF(O67&lt;&gt;0,U67/O67,0)</f>
        <v>12.520040063535326</v>
      </c>
      <c r="X67" s="467" t="s">
        <v>384</v>
      </c>
      <c r="Y67" s="287" t="str">
        <f>IF(O67=0,"-",IF(AND(((F67*(1-$Y$63))&lt;W67),(W67&lt;(G67*(1+$Y$63)))),"OK", "NOK"))</f>
        <v>OK</v>
      </c>
      <c r="Z67" s="284">
        <f>W67/$H$15</f>
        <v>62.600200317676631</v>
      </c>
      <c r="AA67" s="249">
        <f>IF(OR(Y67="OK",Y67="-"),1,0)</f>
        <v>1</v>
      </c>
      <c r="AB67" s="459"/>
    </row>
    <row r="68" spans="1:28" s="262" customFormat="1" ht="24" hidden="1" customHeight="1" outlineLevel="1" x14ac:dyDescent="0.25">
      <c r="A68" s="458"/>
      <c r="B68" s="2306"/>
      <c r="C68" s="2306"/>
      <c r="D68" s="2306"/>
      <c r="E68" s="882"/>
      <c r="F68" s="1694">
        <f>G67</f>
        <v>15</v>
      </c>
      <c r="G68" s="1699">
        <f t="shared" si="2"/>
        <v>25</v>
      </c>
      <c r="H68" s="1700">
        <f t="shared" si="2"/>
        <v>7.2499999999999995E-2</v>
      </c>
      <c r="I68" s="1516"/>
      <c r="J68" s="1701">
        <f>$L$32*(H65+(G67-F67)*H67+(G68-F68)*H68)*$B$64*$C$64</f>
        <v>213.61696735314828</v>
      </c>
      <c r="K68" s="1698">
        <f>$M$32*(H65+(G67-F67)*H67+(G68-F68)*H68)*$B$64*$C$64</f>
        <v>17.801413946095689</v>
      </c>
      <c r="L68" s="1697">
        <f t="shared" si="3"/>
        <v>267.02120919143533</v>
      </c>
      <c r="M68" s="1698">
        <f t="shared" si="3"/>
        <v>22.251767432619612</v>
      </c>
      <c r="N68" s="458"/>
      <c r="O68" s="887">
        <v>2960</v>
      </c>
      <c r="P68" s="467"/>
      <c r="Q68" s="286">
        <f>O68*$Q$63*M68+O68*(1-$Q$63)*K68</f>
        <v>55985.44686047094</v>
      </c>
      <c r="R68" s="458"/>
      <c r="S68" s="891">
        <f>IF(AND(Q68&lt;&gt;0,O68&lt;&gt;0),Q68/(1+$D$17+$D$18+$D$19)/$H$15/O68/30/(($D$25*1000000/$D$8))*1000,0)</f>
        <v>4.4015040286000842</v>
      </c>
      <c r="T68" s="467" t="s">
        <v>382</v>
      </c>
      <c r="U68" s="870">
        <f>S68*O68*30*$D$11*(1+$D$24)/1000</f>
        <v>61484.778566561676</v>
      </c>
      <c r="V68" s="467" t="s">
        <v>383</v>
      </c>
      <c r="W68" s="870">
        <f>IF(O68&lt;&gt;0,U68/O68,0)</f>
        <v>20.771884650865431</v>
      </c>
      <c r="X68" s="467" t="s">
        <v>384</v>
      </c>
      <c r="Y68" s="287" t="str">
        <f>IF(O68=0,"-",IF(AND(((F68*(1-$Y$63))&lt;W68),(W68&lt;(G68*(1+$Y$63)))),"OK", "NOK"))</f>
        <v>OK</v>
      </c>
      <c r="Z68" s="284">
        <f>W68/$H$15</f>
        <v>103.85942325432715</v>
      </c>
      <c r="AA68" s="249">
        <f>IF(OR(Y68="OK",Y68="-"),1,0)</f>
        <v>1</v>
      </c>
      <c r="AB68" s="459"/>
    </row>
    <row r="69" spans="1:28" s="262" customFormat="1" ht="24" hidden="1" customHeight="1" outlineLevel="1" x14ac:dyDescent="0.25">
      <c r="A69" s="458"/>
      <c r="B69" s="2306"/>
      <c r="C69" s="2306"/>
      <c r="D69" s="2306"/>
      <c r="E69" s="882"/>
      <c r="F69" s="1694">
        <f>G68</f>
        <v>25</v>
      </c>
      <c r="G69" s="1699">
        <f t="shared" si="2"/>
        <v>35</v>
      </c>
      <c r="H69" s="1700">
        <f t="shared" si="2"/>
        <v>6.5000000000000002E-2</v>
      </c>
      <c r="I69" s="1516"/>
      <c r="J69" s="1701">
        <f>$L$32*(H65+(G67-F67)*H67+(G68-F68)*H68+(G69-F69)*H69)*$B$64*$C$64</f>
        <v>289.69972284879009</v>
      </c>
      <c r="K69" s="1698">
        <f>$M$32*(H65+(G67-F67)*H67+(G68-F68)*H68+(G69-F69)*H69)*$B$64*$C$64</f>
        <v>24.141643570732509</v>
      </c>
      <c r="L69" s="1697">
        <f t="shared" si="3"/>
        <v>362.12465356098761</v>
      </c>
      <c r="M69" s="1698">
        <f t="shared" si="3"/>
        <v>30.177054463415637</v>
      </c>
      <c r="N69" s="458"/>
      <c r="O69" s="887">
        <v>693</v>
      </c>
      <c r="P69" s="467"/>
      <c r="Q69" s="286">
        <f>O69*$Q$63*M69+O69*(1-$Q$63)*K69</f>
        <v>17775.79393167498</v>
      </c>
      <c r="R69" s="458"/>
      <c r="S69" s="891">
        <f>IF(AND(Q69&lt;&gt;0,O69&lt;&gt;0),Q69/(1+$D$17+$D$18+$D$19)/$H$15/O69/30/(($D$25*1000000/$D$8))*1000,0)</f>
        <v>5.9691629976905229</v>
      </c>
      <c r="T69" s="467" t="s">
        <v>382</v>
      </c>
      <c r="U69" s="870">
        <f>S69*O69*30*$D$11*(1+$D$24)/1000</f>
        <v>19521.87246906745</v>
      </c>
      <c r="V69" s="467" t="s">
        <v>383</v>
      </c>
      <c r="W69" s="870">
        <f>IF(O69&lt;&gt;0,U69/O69,0)</f>
        <v>28.170090142954471</v>
      </c>
      <c r="X69" s="467" t="s">
        <v>384</v>
      </c>
      <c r="Y69" s="287" t="str">
        <f>IF(O69=0,"-",IF(AND(((F69*(1-$Y$63))&lt;W69),(W69&lt;(G69*(1+$Y$63)))),"OK", "NOK"))</f>
        <v>OK</v>
      </c>
      <c r="Z69" s="284">
        <f>W69/$H$15</f>
        <v>140.85045071477234</v>
      </c>
      <c r="AA69" s="249">
        <f>IF(OR(Y69="OK",Y69="-"),1,0)</f>
        <v>1</v>
      </c>
      <c r="AB69" s="459"/>
    </row>
    <row r="70" spans="1:28" s="262" customFormat="1" ht="24" hidden="1" customHeight="1" outlineLevel="1" x14ac:dyDescent="0.25">
      <c r="A70" s="458"/>
      <c r="B70" s="2306"/>
      <c r="C70" s="2306"/>
      <c r="D70" s="2306"/>
      <c r="E70" s="882"/>
      <c r="F70" s="1694">
        <f>G69</f>
        <v>35</v>
      </c>
      <c r="G70" s="1699">
        <f t="shared" si="2"/>
        <v>50</v>
      </c>
      <c r="H70" s="1700">
        <f t="shared" si="2"/>
        <v>0.06</v>
      </c>
      <c r="I70" s="1516"/>
      <c r="J70" s="1701">
        <f>$L$32*(H65+(G67-F67)*H67+(G68-F68)*H68+(G69-F69)*H69+(G70-F70)*H70)*$B$64*$C$64</f>
        <v>395.04507661198647</v>
      </c>
      <c r="K70" s="1698">
        <f>$M$32*(H65+(G67-F67)*H67+(G68-F68)*H68+(G69-F69)*H69+(G70-F70)*H70)*$B$64*$C$64</f>
        <v>32.92042305099887</v>
      </c>
      <c r="L70" s="1697">
        <f t="shared" si="3"/>
        <v>493.80634576498312</v>
      </c>
      <c r="M70" s="1698">
        <f t="shared" si="3"/>
        <v>41.150528813748586</v>
      </c>
      <c r="N70" s="458"/>
      <c r="O70" s="887">
        <v>287</v>
      </c>
      <c r="P70" s="467"/>
      <c r="Q70" s="286">
        <f>O70*$Q$63*M70+O70*(1-$Q$63)*K70</f>
        <v>10038.671504113967</v>
      </c>
      <c r="R70" s="458"/>
      <c r="S70" s="891">
        <f>IF(AND(Q70&lt;&gt;0,O70&lt;&gt;0),Q70/(1+$D$17+$D$18+$D$19)/$H$15/O70/30/(($D$25*1000000/$D$8))*1000,0)</f>
        <v>8.1397677241234394</v>
      </c>
      <c r="T70" s="467" t="s">
        <v>382</v>
      </c>
      <c r="U70" s="870">
        <f>S70*O70*30*$D$11*(1+$D$24)/1000</f>
        <v>11024.748915038092</v>
      </c>
      <c r="V70" s="467" t="s">
        <v>383</v>
      </c>
      <c r="W70" s="870">
        <f>IF(O70&lt;&gt;0,U70/O70,0)</f>
        <v>38.413759285847007</v>
      </c>
      <c r="X70" s="467" t="s">
        <v>384</v>
      </c>
      <c r="Y70" s="287" t="str">
        <f>IF(O70=0,"-",IF(AND(((F70*(1-$Y$63))&lt;W70),(W70&lt;(G70*(1+$Y$63)))),"OK", "NOK"))</f>
        <v>OK</v>
      </c>
      <c r="Z70" s="284">
        <f>W70/$H$15</f>
        <v>192.06879642923502</v>
      </c>
      <c r="AA70" s="249">
        <f>IF(OR(Y70="OK",Y70="-"),1,0)</f>
        <v>1</v>
      </c>
      <c r="AB70" s="459"/>
    </row>
    <row r="71" spans="1:28" s="262" customFormat="1" ht="24" hidden="1" customHeight="1" outlineLevel="1" x14ac:dyDescent="0.25">
      <c r="A71" s="458"/>
      <c r="B71" s="2307"/>
      <c r="C71" s="2307"/>
      <c r="D71" s="2307"/>
      <c r="E71" s="882"/>
      <c r="F71" s="1694">
        <f>G70</f>
        <v>50</v>
      </c>
      <c r="G71" s="1699">
        <f t="shared" si="2"/>
        <v>100</v>
      </c>
      <c r="H71" s="1700">
        <f t="shared" si="2"/>
        <v>0.05</v>
      </c>
      <c r="I71" s="1516"/>
      <c r="J71" s="1701">
        <f>$L$32*(H65+(G67-F67)*H67+(G68-F68)*H68+(G69-F69)*H69+(G70-F70)*H70+(G71-F71)*H71)*$B$64*$C$64</f>
        <v>687.67105928753199</v>
      </c>
      <c r="K71" s="1698">
        <f>$M$32*(H65+(G67-F67)*H67+(G68-F68)*H68+(G69-F69)*H69+(G70-F70)*H70+(G71-F71)*H71)*$B$64*$C$64</f>
        <v>57.30592160729433</v>
      </c>
      <c r="L71" s="1697">
        <f t="shared" si="3"/>
        <v>859.58882410941499</v>
      </c>
      <c r="M71" s="1698">
        <f t="shared" si="3"/>
        <v>71.632402009117911</v>
      </c>
      <c r="N71" s="458"/>
      <c r="O71" s="887">
        <v>100</v>
      </c>
      <c r="P71" s="467"/>
      <c r="Q71" s="286">
        <f>O71*$Q$63*M71+O71*(1-$Q$63)*K71</f>
        <v>6088.7541707750224</v>
      </c>
      <c r="R71" s="458"/>
      <c r="S71" s="891">
        <f>IF(AND(Q71&lt;&gt;0,O71&lt;&gt;0),Q71/(1+$D$17+$D$18+$D$19)/$H$15/O71/30/(($D$25*1000000/$D$8))*1000,0)</f>
        <v>14.169225297548211</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5" hidden="1"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hidden="1" customHeight="1" outlineLevel="1" x14ac:dyDescent="0.25">
      <c r="A73" s="458"/>
      <c r="B73" s="2295" t="s">
        <v>762</v>
      </c>
      <c r="C73" s="2296"/>
      <c r="D73" s="2296"/>
      <c r="E73" s="2296"/>
      <c r="F73" s="2296"/>
      <c r="G73" s="2296"/>
      <c r="H73" s="2296"/>
      <c r="I73" s="2296"/>
      <c r="J73" s="2296"/>
      <c r="K73" s="2296"/>
      <c r="L73" s="2296"/>
      <c r="M73" s="2296"/>
      <c r="N73" s="458"/>
      <c r="O73" s="458"/>
      <c r="P73" s="458"/>
      <c r="Q73" s="458"/>
      <c r="R73" s="458"/>
      <c r="S73" s="458"/>
      <c r="T73" s="458"/>
      <c r="U73" s="458"/>
      <c r="V73" s="458"/>
      <c r="W73" s="459"/>
      <c r="X73" s="458"/>
      <c r="Y73" s="459"/>
      <c r="Z73" s="458"/>
      <c r="AA73" s="458"/>
      <c r="AB73" s="473"/>
    </row>
    <row r="74" spans="1:28" s="1656" customFormat="1" ht="25.15" hidden="1" customHeight="1" outlineLevel="1" x14ac:dyDescent="0.45">
      <c r="A74" s="1649"/>
      <c r="B74" s="2297" t="s">
        <v>369</v>
      </c>
      <c r="C74" s="2289"/>
      <c r="D74" s="2289"/>
      <c r="E74" s="2298"/>
      <c r="F74" s="2289"/>
      <c r="G74" s="2289"/>
      <c r="H74" s="2289"/>
      <c r="I74" s="2298"/>
      <c r="J74" s="2289"/>
      <c r="K74" s="2289"/>
      <c r="L74" s="2289"/>
      <c r="M74" s="2289"/>
      <c r="N74" s="1649"/>
      <c r="O74" s="1651">
        <f>G8</f>
        <v>27439.8</v>
      </c>
      <c r="P74" s="1658"/>
      <c r="Q74" s="1649"/>
      <c r="R74" s="1649"/>
      <c r="S74" s="1649"/>
      <c r="T74" s="1649"/>
      <c r="U74" s="1649"/>
      <c r="V74" s="1649"/>
      <c r="W74" s="1654"/>
      <c r="X74" s="1649"/>
      <c r="Y74" s="1654"/>
      <c r="Z74" s="1649"/>
      <c r="AA74" s="1649"/>
      <c r="AB74" s="1655"/>
    </row>
    <row r="75" spans="1:28" s="262" customFormat="1" ht="37.9" hidden="1" customHeight="1" outlineLevel="1" x14ac:dyDescent="0.25">
      <c r="A75" s="459"/>
      <c r="B75" s="2297" t="s">
        <v>370</v>
      </c>
      <c r="C75" s="2297" t="s">
        <v>371</v>
      </c>
      <c r="D75" s="2300"/>
      <c r="E75" s="1515"/>
      <c r="F75" s="2288" t="s">
        <v>372</v>
      </c>
      <c r="G75" s="2289"/>
      <c r="H75" s="2290"/>
      <c r="I75" s="881"/>
      <c r="J75" s="2286" t="s">
        <v>970</v>
      </c>
      <c r="K75" s="2287"/>
      <c r="L75" s="2287"/>
      <c r="M75" s="2287"/>
      <c r="N75" s="458"/>
      <c r="O75" s="265">
        <f>O78+O80+O81+O82+O83+O84</f>
        <v>27440</v>
      </c>
      <c r="P75" s="467"/>
      <c r="Q75" s="889">
        <f>Q78+Q80+Q81+Q82+Q83+Q84</f>
        <v>3358470.232079627</v>
      </c>
      <c r="R75" s="458"/>
      <c r="S75" s="2283">
        <f>IF(AND(Q75&lt;&gt;0,O75&lt;&gt;0),Q75/(1+$D$17+$D$18+$D$19)/(($D$25*1000000/$D$8)),0)</f>
        <v>4689.3259315859068</v>
      </c>
      <c r="T75" s="2322" t="s">
        <v>373</v>
      </c>
      <c r="U75" s="2283">
        <f>U78+U80+U81+U82+U83+U84</f>
        <v>737673.12800570845</v>
      </c>
      <c r="V75" s="467" t="s">
        <v>374</v>
      </c>
      <c r="W75" s="2283">
        <f>W78*O78+W80*O80+W81*O81+W82*O82+W83*O83+W84*O84</f>
        <v>737673.12800570845</v>
      </c>
      <c r="X75" s="467" t="s">
        <v>374</v>
      </c>
      <c r="Y75" s="865" t="s">
        <v>375</v>
      </c>
      <c r="Z75" s="151"/>
      <c r="AA75" s="151"/>
      <c r="AB75" s="473"/>
    </row>
    <row r="76" spans="1:28" s="262" customFormat="1" ht="24" hidden="1" customHeight="1" outlineLevel="1" x14ac:dyDescent="0.25">
      <c r="A76" s="459"/>
      <c r="B76" s="2299"/>
      <c r="C76" s="1637" t="s">
        <v>376</v>
      </c>
      <c r="D76" s="1638" t="s">
        <v>377</v>
      </c>
      <c r="E76" s="1516"/>
      <c r="F76" s="2291"/>
      <c r="G76" s="2289"/>
      <c r="H76" s="2290"/>
      <c r="I76" s="882"/>
      <c r="J76" s="2292" t="s">
        <v>378</v>
      </c>
      <c r="K76" s="2293"/>
      <c r="L76" s="2294" t="s">
        <v>379</v>
      </c>
      <c r="M76" s="2293"/>
      <c r="N76" s="458"/>
      <c r="O76" s="894" t="s">
        <v>380</v>
      </c>
      <c r="P76" s="467"/>
      <c r="Q76" s="890">
        <v>0.5</v>
      </c>
      <c r="R76" s="458"/>
      <c r="S76" s="2304"/>
      <c r="T76" s="2323"/>
      <c r="U76" s="2304"/>
      <c r="V76" s="467"/>
      <c r="W76" s="2284"/>
      <c r="X76" s="467"/>
      <c r="Y76" s="893">
        <f>$Y$33</f>
        <v>0.1</v>
      </c>
      <c r="Z76" s="151"/>
      <c r="AA76" s="151"/>
      <c r="AB76" s="473"/>
    </row>
    <row r="77" spans="1:28" s="262" customFormat="1" ht="24" hidden="1" customHeight="1" outlineLevel="1" x14ac:dyDescent="0.25">
      <c r="A77" s="459"/>
      <c r="B77" s="2308">
        <v>2</v>
      </c>
      <c r="C77" s="2308">
        <v>1</v>
      </c>
      <c r="D77" s="2311">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25">
      <c r="A78" s="458"/>
      <c r="B78" s="2309"/>
      <c r="C78" s="2313"/>
      <c r="D78" s="2314"/>
      <c r="E78" s="882"/>
      <c r="F78" s="1694" t="s">
        <v>338</v>
      </c>
      <c r="G78" s="1695">
        <v>5</v>
      </c>
      <c r="H78" s="1696">
        <f>0.35-0.25</f>
        <v>9.9999999999999978E-2</v>
      </c>
      <c r="I78" s="1516"/>
      <c r="J78" s="1697">
        <f>$L$32*H78*$B$77*$C$77</f>
        <v>117.05039307021818</v>
      </c>
      <c r="K78" s="1698">
        <f>$M$32*H78*$B$77*$C$77</f>
        <v>9.7541994225181821</v>
      </c>
      <c r="L78" s="1697">
        <f>J78*$D$77</f>
        <v>146.31299133777273</v>
      </c>
      <c r="M78" s="1698">
        <f>K78*$D$77</f>
        <v>12.192749278147728</v>
      </c>
      <c r="N78" s="458"/>
      <c r="O78" s="887">
        <v>7692</v>
      </c>
      <c r="P78" s="467"/>
      <c r="Q78" s="286">
        <f>O78*$Q$76*M78+O78*(1-$Q$76)*K78</f>
        <v>84407.964702761092</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25">
      <c r="A79" s="458"/>
      <c r="B79" s="2309"/>
      <c r="C79" s="2313"/>
      <c r="D79" s="2314"/>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25">
      <c r="A80" s="458"/>
      <c r="B80" s="2309"/>
      <c r="C80" s="2313"/>
      <c r="D80" s="2314"/>
      <c r="E80" s="882"/>
      <c r="F80" s="1694">
        <f>G78</f>
        <v>5</v>
      </c>
      <c r="G80" s="1695">
        <v>20</v>
      </c>
      <c r="H80" s="1696">
        <f>0.05</f>
        <v>0.05</v>
      </c>
      <c r="I80" s="1516"/>
      <c r="J80" s="1697">
        <f>$L$32*(H78+(G80-F80)*H80)*$B$77*$C$77</f>
        <v>994.92834109685475</v>
      </c>
      <c r="K80" s="1698">
        <f>$M$32*(H78+(G80-F80)*H80)*$B$77*$C$77</f>
        <v>82.910695091404563</v>
      </c>
      <c r="L80" s="1697">
        <f t="shared" ref="L80:M84" si="4">J80*$D$77</f>
        <v>1243.6604263710685</v>
      </c>
      <c r="M80" s="1698">
        <f t="shared" si="4"/>
        <v>103.63836886425571</v>
      </c>
      <c r="N80" s="458"/>
      <c r="O80" s="887">
        <v>8500</v>
      </c>
      <c r="P80" s="467"/>
      <c r="Q80" s="286">
        <f>O80*$Q$76*M80+O80*(1-$Q$76)*K80</f>
        <v>792833.52181155619</v>
      </c>
      <c r="R80" s="458"/>
      <c r="S80" s="891">
        <f>IF(AND(Q80&lt;&gt;0,O80&lt;&gt;0),Q80/(1+$D$17+$D$18+$D$19)/O80/30/(($D$25*1000000/$D$8))*1000,0)</f>
        <v>4.3412094528658347</v>
      </c>
      <c r="T80" s="467" t="s">
        <v>382</v>
      </c>
      <c r="U80" s="870">
        <f>S80*O80*30*$D$11*(1+$D$24)/1000</f>
        <v>174142.37542917312</v>
      </c>
      <c r="V80" s="467" t="s">
        <v>383</v>
      </c>
      <c r="W80" s="870">
        <f>IF(O80&lt;&gt;0,U80/O80,0)</f>
        <v>20.487338285785071</v>
      </c>
      <c r="X80" s="467" t="s">
        <v>383</v>
      </c>
      <c r="Y80" s="287" t="str">
        <f>IF(O80=0,"-",IF(AND(((F80*(1-$Y$76))&lt;W80),(W80&lt;(G80*(1+$Y$76)))),"OK", "NOK"))</f>
        <v>OK</v>
      </c>
      <c r="Z80" s="151"/>
      <c r="AA80" s="249">
        <f>IF(OR(Y80="OK",Y80="-"),1,0)</f>
        <v>1</v>
      </c>
      <c r="AB80" s="473"/>
    </row>
    <row r="81" spans="1:28" s="262" customFormat="1" ht="24" hidden="1" customHeight="1" outlineLevel="1" x14ac:dyDescent="0.25">
      <c r="A81" s="458"/>
      <c r="B81" s="2309"/>
      <c r="C81" s="2313"/>
      <c r="D81" s="2314"/>
      <c r="E81" s="882"/>
      <c r="F81" s="1694">
        <f>G80</f>
        <v>20</v>
      </c>
      <c r="G81" s="1695">
        <v>30</v>
      </c>
      <c r="H81" s="1696">
        <f>0.045</f>
        <v>4.4999999999999998E-2</v>
      </c>
      <c r="I81" s="1516"/>
      <c r="J81" s="1697">
        <f>$L$32*(H78+(G80-F80)*H80+(G81-F81)*H81)*$B$77*$C$77</f>
        <v>1521.6551099128365</v>
      </c>
      <c r="K81" s="1698">
        <f>$M$32*(H78+(G80-F80)*H80+(G81-F81)*H81)*$B$77*$C$77</f>
        <v>126.80459249273638</v>
      </c>
      <c r="L81" s="1697">
        <f t="shared" si="4"/>
        <v>1902.0688873910456</v>
      </c>
      <c r="M81" s="1698">
        <f t="shared" si="4"/>
        <v>158.50574061592047</v>
      </c>
      <c r="N81" s="458"/>
      <c r="O81" s="887">
        <v>2573</v>
      </c>
      <c r="P81" s="467"/>
      <c r="Q81" s="286">
        <f>O81*$Q$76*M81+O81*(1-$Q$76)*K81</f>
        <v>367051.74354428705</v>
      </c>
      <c r="R81" s="458"/>
      <c r="S81" s="891">
        <f>IF(AND(Q81&lt;&gt;0,O81&lt;&gt;0),Q81/(1+$D$17+$D$18+$D$19)/O81/30/(($D$25*1000000/$D$8))*1000,0)</f>
        <v>6.6394968102653955</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hidden="1" customHeight="1" outlineLevel="1" x14ac:dyDescent="0.25">
      <c r="A82" s="458"/>
      <c r="B82" s="2309"/>
      <c r="C82" s="2313"/>
      <c r="D82" s="2314"/>
      <c r="E82" s="882"/>
      <c r="F82" s="1694">
        <f>G81</f>
        <v>30</v>
      </c>
      <c r="G82" s="1695">
        <v>40</v>
      </c>
      <c r="H82" s="1696">
        <f>0.04</f>
        <v>0.04</v>
      </c>
      <c r="I82" s="1516"/>
      <c r="J82" s="1697">
        <f>$L$32*(H78+(G80-F80)*H80+(G81-F81)*H81+(G82-F82)*H82)*$B$77*$C$77</f>
        <v>1989.8566821937093</v>
      </c>
      <c r="K82" s="1698">
        <f>$M$32*(H78+(G80-F80)*H80+(G81-F81)*H81+(G82-F82)*H82)*$B$77*$C$77</f>
        <v>165.8213901828091</v>
      </c>
      <c r="L82" s="1697">
        <f t="shared" si="4"/>
        <v>2487.3208527421366</v>
      </c>
      <c r="M82" s="1698">
        <f t="shared" si="4"/>
        <v>207.27673772851136</v>
      </c>
      <c r="N82" s="458"/>
      <c r="O82" s="887">
        <v>4825</v>
      </c>
      <c r="P82" s="467"/>
      <c r="Q82" s="286">
        <f>O82*$Q$76*M82+O82*(1-$Q$76)*K82</f>
        <v>900099.23358606058</v>
      </c>
      <c r="R82" s="458"/>
      <c r="S82" s="891">
        <f>IF(AND(Q82&lt;&gt;0,O82&lt;&gt;0),Q82/(1+$D$17+$D$18+$D$19)/O82/30/(($D$25*1000000/$D$8))*1000,0)</f>
        <v>8.6824189057316676</v>
      </c>
      <c r="T82" s="467" t="s">
        <v>382</v>
      </c>
      <c r="U82" s="870">
        <f>S82*O82*30*$D$11*(1+$D$24)/1000</f>
        <v>197702.81445782594</v>
      </c>
      <c r="V82" s="467" t="s">
        <v>383</v>
      </c>
      <c r="W82" s="870">
        <f>IF(O82&lt;&gt;0,U82/O82,0)</f>
        <v>40.974676571570143</v>
      </c>
      <c r="X82" s="467" t="s">
        <v>383</v>
      </c>
      <c r="Y82" s="287" t="str">
        <f>IF(O82=0,"-",IF(AND(((F82*(1-$Y$76))&lt;W82),(W82&lt;(G82*(1+$Y$76)))),"OK", "NOK"))</f>
        <v>OK</v>
      </c>
      <c r="Z82" s="151"/>
      <c r="AA82" s="249">
        <f>IF(OR(Y82="OK",Y82="-"),1,0)</f>
        <v>1</v>
      </c>
      <c r="AB82" s="473"/>
    </row>
    <row r="83" spans="1:28" s="262" customFormat="1" ht="24" hidden="1" customHeight="1" outlineLevel="1" x14ac:dyDescent="0.25">
      <c r="A83" s="458"/>
      <c r="B83" s="2309"/>
      <c r="C83" s="2313"/>
      <c r="D83" s="2314"/>
      <c r="E83" s="882"/>
      <c r="F83" s="1694">
        <f>G82</f>
        <v>40</v>
      </c>
      <c r="G83" s="1695">
        <v>55</v>
      </c>
      <c r="H83" s="1696">
        <f>0.035</f>
        <v>3.5000000000000003E-2</v>
      </c>
      <c r="I83" s="1516"/>
      <c r="J83" s="1697">
        <f>$L$32*(H78+(G80-F80)*H80+(G81-F81)*H81+(G82-F82)*H82+(G83-F83)*H83)*$B$77*$C$77</f>
        <v>2604.3712458123546</v>
      </c>
      <c r="K83" s="1698">
        <f>$M$32*(H78+(G80-F80)*H80+(G81-F81)*H81+(G82-F82)*H82+(G83-F83)*H83)*$B$77*$C$77</f>
        <v>217.03093715102955</v>
      </c>
      <c r="L83" s="1697">
        <f t="shared" si="4"/>
        <v>3255.4640572654434</v>
      </c>
      <c r="M83" s="1698">
        <f t="shared" si="4"/>
        <v>271.28867143878693</v>
      </c>
      <c r="N83" s="458"/>
      <c r="O83" s="887">
        <v>2000</v>
      </c>
      <c r="P83" s="467"/>
      <c r="Q83" s="286">
        <f>O83*$Q$76*M83+O83*(1-$Q$76)*K83</f>
        <v>488319.60858981649</v>
      </c>
      <c r="R83" s="458"/>
      <c r="S83" s="891">
        <f>IF(AND(Q83&lt;&gt;0,O83&lt;&gt;0),Q83/(1+$D$17+$D$18+$D$19)/O83/30/(($D$25*1000000/$D$8))*1000,0)</f>
        <v>11.363754156031154</v>
      </c>
      <c r="T83" s="467" t="s">
        <v>382</v>
      </c>
      <c r="U83" s="870">
        <f>S83*O83*30*$D$11*(1+$D$24)/1000</f>
        <v>107257.24161381598</v>
      </c>
      <c r="V83" s="1620" t="s">
        <v>383</v>
      </c>
      <c r="W83" s="870">
        <f>IF(O83&lt;&gt;0,U83/O83,0)</f>
        <v>53.628620806907989</v>
      </c>
      <c r="X83" s="467" t="s">
        <v>383</v>
      </c>
      <c r="Y83" s="287" t="str">
        <f>IF(O83=0,"-",IF(AND(((F83*(1-$Y$76))&lt;W83),(W83&lt;(G83*(1+$Y$76)))),"OK", "NOK"))</f>
        <v>OK</v>
      </c>
      <c r="Z83" s="151"/>
      <c r="AA83" s="249">
        <f>IF(OR(Y83="OK",Y83="-"),1,0)</f>
        <v>1</v>
      </c>
      <c r="AB83" s="473"/>
    </row>
    <row r="84" spans="1:28" s="262" customFormat="1" ht="24" hidden="1" customHeight="1" outlineLevel="1" x14ac:dyDescent="0.25">
      <c r="A84" s="458"/>
      <c r="B84" s="2309"/>
      <c r="C84" s="2313"/>
      <c r="D84" s="2314"/>
      <c r="E84" s="882"/>
      <c r="F84" s="1694">
        <f>G83</f>
        <v>55</v>
      </c>
      <c r="G84" s="1695">
        <v>100</v>
      </c>
      <c r="H84" s="1696">
        <f>0.03</f>
        <v>0.03</v>
      </c>
      <c r="I84" s="1516"/>
      <c r="J84" s="1697">
        <f>$L$32*(H78+(G80-F80)*H80+(G81-F81)*H81+(G82-F82)*H82+(G83-F83)*H83+(G84-F84)*H84)*$B$77*$C$77</f>
        <v>4184.5515522603</v>
      </c>
      <c r="K84" s="1698">
        <f>$M$32*(H78+(G80-F80)*H80+(G81-F81)*H81+(G82-F82)*H82+(G83-F83)*H83+(G84-F84)*H84)*$B$77*$C$77</f>
        <v>348.712629355025</v>
      </c>
      <c r="L84" s="1697">
        <f t="shared" si="4"/>
        <v>5230.6894403253755</v>
      </c>
      <c r="M84" s="1698">
        <f t="shared" si="4"/>
        <v>435.89078669378125</v>
      </c>
      <c r="N84" s="458"/>
      <c r="O84" s="887">
        <v>1850</v>
      </c>
      <c r="P84" s="467"/>
      <c r="Q84" s="286">
        <f>O84*$Q$76*M84+O84*(1-$Q$76)*K84</f>
        <v>725758.15984514577</v>
      </c>
      <c r="R84" s="458"/>
      <c r="S84" s="891">
        <f>IF(AND(Q84&lt;&gt;0,O84&lt;&gt;0),Q84/(1+$D$17+$D$18+$D$19)/O84/30/(($D$25*1000000/$D$8))*1000,0)</f>
        <v>18.258616228229833</v>
      </c>
      <c r="T84" s="467" t="s">
        <v>382</v>
      </c>
      <c r="U84" s="870">
        <f>S84*O84*30*$D$11*(1+$D$24)/1000</f>
        <v>159409.56892660123</v>
      </c>
      <c r="V84" s="467" t="s">
        <v>383</v>
      </c>
      <c r="W84" s="870">
        <f>IF(O84&lt;&gt;0,U84/O84,0)</f>
        <v>86.167334554919591</v>
      </c>
      <c r="X84" s="467" t="s">
        <v>383</v>
      </c>
      <c r="Y84" s="287" t="str">
        <f>IF(O84=0,"-",IF(AND(((F84*(1-$Y$76))&lt;W84),(W84&lt;(G84*(1+$Y$76)))),"OK", "NOK"))</f>
        <v>OK</v>
      </c>
      <c r="Z84" s="151"/>
      <c r="AA84" s="249">
        <f>IF(OR(Y84="OK",Y84="-"),1,0)</f>
        <v>1</v>
      </c>
      <c r="AB84" s="473"/>
    </row>
    <row r="85" spans="1:28" s="262" customFormat="1" ht="10.15" hidden="1"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hidden="1" customHeight="1" outlineLevel="1" x14ac:dyDescent="0.25">
      <c r="A86" s="458"/>
      <c r="B86" s="2295" t="s">
        <v>387</v>
      </c>
      <c r="C86" s="2296"/>
      <c r="D86" s="2296"/>
      <c r="E86" s="2296"/>
      <c r="F86" s="2296"/>
      <c r="G86" s="2296"/>
      <c r="H86" s="2296"/>
      <c r="I86" s="2296"/>
      <c r="J86" s="2296"/>
      <c r="K86" s="2296"/>
      <c r="L86" s="2296"/>
      <c r="M86" s="2296"/>
      <c r="N86" s="458"/>
      <c r="O86" s="458"/>
      <c r="P86" s="458"/>
      <c r="Q86" s="458"/>
      <c r="R86" s="458"/>
      <c r="S86" s="458"/>
      <c r="T86" s="458"/>
      <c r="U86" s="458"/>
      <c r="V86" s="458"/>
      <c r="W86" s="459"/>
      <c r="X86" s="458"/>
      <c r="Y86" s="459"/>
      <c r="Z86" s="458"/>
      <c r="AA86" s="458"/>
      <c r="AB86" s="473"/>
    </row>
    <row r="87" spans="1:28" s="1656" customFormat="1" ht="25.15" hidden="1" customHeight="1" outlineLevel="1" x14ac:dyDescent="0.45">
      <c r="A87" s="1649"/>
      <c r="B87" s="2297" t="s">
        <v>369</v>
      </c>
      <c r="C87" s="2289"/>
      <c r="D87" s="2289"/>
      <c r="E87" s="2298"/>
      <c r="F87" s="2289"/>
      <c r="G87" s="2289"/>
      <c r="H87" s="2289"/>
      <c r="I87" s="2298"/>
      <c r="J87" s="2289"/>
      <c r="K87" s="2289"/>
      <c r="L87" s="2289"/>
      <c r="M87" s="2289"/>
      <c r="N87" s="1649"/>
      <c r="O87" s="1651">
        <f>G10</f>
        <v>5</v>
      </c>
      <c r="P87" s="1658"/>
      <c r="Q87" s="1649"/>
      <c r="R87" s="1649"/>
      <c r="S87" s="1649"/>
      <c r="T87" s="1649"/>
      <c r="U87" s="1649"/>
      <c r="V87" s="1649"/>
      <c r="W87" s="1654"/>
      <c r="X87" s="1649"/>
      <c r="Y87" s="1654"/>
      <c r="Z87" s="1649"/>
      <c r="AA87" s="1649"/>
      <c r="AB87" s="1655"/>
    </row>
    <row r="88" spans="1:28" s="262" customFormat="1" ht="46.9" hidden="1" customHeight="1" outlineLevel="1" x14ac:dyDescent="0.25">
      <c r="A88" s="458"/>
      <c r="B88" s="2297" t="s">
        <v>370</v>
      </c>
      <c r="C88" s="2297" t="s">
        <v>371</v>
      </c>
      <c r="D88" s="2300"/>
      <c r="E88" s="1515"/>
      <c r="F88" s="2288" t="s">
        <v>372</v>
      </c>
      <c r="G88" s="2289"/>
      <c r="H88" s="2290"/>
      <c r="I88" s="881"/>
      <c r="J88" s="2286" t="s">
        <v>970</v>
      </c>
      <c r="K88" s="2287"/>
      <c r="L88" s="2287"/>
      <c r="M88" s="2287"/>
      <c r="N88" s="458"/>
      <c r="O88" s="287">
        <f>O91+O93+O94+O95+O96</f>
        <v>5</v>
      </c>
      <c r="P88" s="467"/>
      <c r="Q88" s="889">
        <f>Q91+Q93+Q94+Q95+Q96</f>
        <v>2843.3491316640502</v>
      </c>
      <c r="R88" s="458"/>
      <c r="S88" s="2283">
        <f>IF(AND(Q88&lt;&gt;0,O88&lt;&gt;0),Q88/(1+$D$17+$D$18+$D$19)/(($D$25*1000000/$D$8)),0)</f>
        <v>3.970078605522795</v>
      </c>
      <c r="T88" s="2322" t="s">
        <v>373</v>
      </c>
      <c r="U88" s="2283">
        <f>U91+U93+U94+U95+U96+Z97</f>
        <v>624.5290572869385</v>
      </c>
      <c r="V88" s="458" t="s">
        <v>374</v>
      </c>
      <c r="W88" s="2283">
        <f>W91*O91+W93*O93+W94*O94+W95*O95+W96*O96</f>
        <v>624.5290572869385</v>
      </c>
      <c r="X88" s="467" t="s">
        <v>374</v>
      </c>
      <c r="Y88" s="865" t="s">
        <v>375</v>
      </c>
      <c r="Z88" s="151"/>
      <c r="AA88" s="151"/>
      <c r="AB88" s="473"/>
    </row>
    <row r="89" spans="1:28" s="262" customFormat="1" ht="24" hidden="1" customHeight="1" outlineLevel="1" x14ac:dyDescent="0.25">
      <c r="A89" s="458"/>
      <c r="B89" s="2299"/>
      <c r="C89" s="1637" t="s">
        <v>376</v>
      </c>
      <c r="D89" s="1638" t="s">
        <v>377</v>
      </c>
      <c r="E89" s="1516"/>
      <c r="F89" s="2291"/>
      <c r="G89" s="2289"/>
      <c r="H89" s="2290"/>
      <c r="I89" s="882"/>
      <c r="J89" s="2292" t="s">
        <v>378</v>
      </c>
      <c r="K89" s="2293"/>
      <c r="L89" s="2294" t="s">
        <v>379</v>
      </c>
      <c r="M89" s="2293"/>
      <c r="N89" s="458"/>
      <c r="O89" s="894" t="s">
        <v>380</v>
      </c>
      <c r="P89" s="467"/>
      <c r="Q89" s="890">
        <v>0.25</v>
      </c>
      <c r="R89" s="458"/>
      <c r="S89" s="2304"/>
      <c r="T89" s="2323"/>
      <c r="U89" s="2304"/>
      <c r="V89" s="458"/>
      <c r="W89" s="2284"/>
      <c r="X89" s="467"/>
      <c r="Y89" s="893">
        <f>$Y$33</f>
        <v>0.1</v>
      </c>
      <c r="Z89" s="151"/>
      <c r="AA89" s="151"/>
      <c r="AB89" s="473"/>
    </row>
    <row r="90" spans="1:28" s="262" customFormat="1" ht="24" hidden="1" customHeight="1" outlineLevel="1" x14ac:dyDescent="0.25">
      <c r="A90" s="458"/>
      <c r="B90" s="2308">
        <v>2</v>
      </c>
      <c r="C90" s="2308">
        <v>1</v>
      </c>
      <c r="D90" s="2311">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25">
      <c r="A91" s="458"/>
      <c r="B91" s="2309"/>
      <c r="C91" s="2310"/>
      <c r="D91" s="2312"/>
      <c r="E91" s="882"/>
      <c r="F91" s="1694" t="s">
        <v>338</v>
      </c>
      <c r="G91" s="1695">
        <v>5</v>
      </c>
      <c r="H91" s="1696">
        <v>0.35</v>
      </c>
      <c r="I91" s="1516"/>
      <c r="J91" s="1697">
        <f>$L$32*H91*$B$90*$C$90</f>
        <v>409.67637574576372</v>
      </c>
      <c r="K91" s="1698">
        <f>$M$32*H91*$B$90*$C$90</f>
        <v>34.139697978813643</v>
      </c>
      <c r="L91" s="1697">
        <f>J91*$D$90</f>
        <v>491.61165089491647</v>
      </c>
      <c r="M91" s="1698">
        <f>K91*$D$90</f>
        <v>40.967637574576372</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25">
      <c r="A92" s="458"/>
      <c r="B92" s="2309"/>
      <c r="C92" s="2310"/>
      <c r="D92" s="2312"/>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25">
      <c r="A93" s="458"/>
      <c r="B93" s="2309"/>
      <c r="C93" s="2310"/>
      <c r="D93" s="2312"/>
      <c r="E93" s="882"/>
      <c r="F93" s="1694">
        <f>G91</f>
        <v>5</v>
      </c>
      <c r="G93" s="1695">
        <v>30</v>
      </c>
      <c r="H93" s="1696">
        <v>0.05</v>
      </c>
      <c r="I93" s="1516"/>
      <c r="J93" s="1697">
        <f>$L$32*(H91+(G93-F93)*H93)*$B$90*$C$90</f>
        <v>1872.8062891234913</v>
      </c>
      <c r="K93" s="1698">
        <f>$M$32*(H91+(G93-F93)*H93)*$B$90*$C$90</f>
        <v>156.06719076029094</v>
      </c>
      <c r="L93" s="1697">
        <f t="shared" ref="L93:M96" si="5">J93*$D$90</f>
        <v>2247.3675469481896</v>
      </c>
      <c r="M93" s="1698">
        <f t="shared" si="5"/>
        <v>187.28062891234913</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25">
      <c r="A94" s="458"/>
      <c r="B94" s="2309"/>
      <c r="C94" s="2310"/>
      <c r="D94" s="2312"/>
      <c r="E94" s="882"/>
      <c r="F94" s="1694">
        <f>G93</f>
        <v>30</v>
      </c>
      <c r="G94" s="1695">
        <v>100</v>
      </c>
      <c r="H94" s="1696">
        <v>0.03</v>
      </c>
      <c r="I94" s="1516"/>
      <c r="J94" s="1697">
        <f>$L$32*(H91+(G93-F93)*H93+(G94-F94)*H94)*$B$90*$C$90</f>
        <v>4330.8645435980734</v>
      </c>
      <c r="K94" s="1698">
        <f>$M$32*(H91+(G93-F93)*H93+(G94-F94)*H94)*$B$90*$C$90</f>
        <v>360.9053786331728</v>
      </c>
      <c r="L94" s="1697">
        <f t="shared" si="5"/>
        <v>5197.0374523176879</v>
      </c>
      <c r="M94" s="1698">
        <f t="shared" si="5"/>
        <v>433.08645435980736</v>
      </c>
      <c r="N94" s="458"/>
      <c r="O94" s="887">
        <v>4</v>
      </c>
      <c r="P94" s="467"/>
      <c r="Q94" s="286">
        <f>O94*$Q$76*M94+O94*(1-$Q$76)*K94</f>
        <v>1587.9836659859602</v>
      </c>
      <c r="R94" s="458"/>
      <c r="S94" s="891">
        <f>IF(AND(Q94&lt;&gt;0,O94&lt;&gt;0),Q94/(1+$D$17+$D$18+$D$19)/O94/30/(($D$25*1000000/$D$8))*1000,0)</f>
        <v>18.477095396772757</v>
      </c>
      <c r="T94" s="467" t="s">
        <v>382</v>
      </c>
      <c r="U94" s="870">
        <f>S94*O94*30*$D$11*(1+$D$24)/1000</f>
        <v>348.79358671119587</v>
      </c>
      <c r="V94" s="458" t="s">
        <v>383</v>
      </c>
      <c r="W94" s="870">
        <f>IF(O94&lt;&gt;0,U94/O94,0)</f>
        <v>87.198396677798968</v>
      </c>
      <c r="X94" s="467" t="s">
        <v>383</v>
      </c>
      <c r="Y94" s="265" t="str">
        <f>IF(O94=0,"-",IF(AND(((F94*(1-$Y$89))&lt;W94),(W94&lt;(G94*(1+$Y$89)))),"OK", "NOK"))</f>
        <v>OK</v>
      </c>
      <c r="Z94" s="151"/>
      <c r="AA94" s="249">
        <f>IF(OR(Y94="OK",Y94="-"),1,0)</f>
        <v>1</v>
      </c>
      <c r="AB94" s="473"/>
    </row>
    <row r="95" spans="1:28" s="262" customFormat="1" ht="24" hidden="1" customHeight="1" outlineLevel="1" x14ac:dyDescent="0.25">
      <c r="A95" s="458"/>
      <c r="B95" s="2309"/>
      <c r="C95" s="2310"/>
      <c r="D95" s="2312"/>
      <c r="E95" s="882"/>
      <c r="F95" s="1694">
        <f>G94</f>
        <v>100</v>
      </c>
      <c r="G95" s="1695">
        <v>500</v>
      </c>
      <c r="H95" s="1696">
        <v>0.02</v>
      </c>
      <c r="I95" s="1516"/>
      <c r="J95" s="1697">
        <f>$L$32*(H91+(G93-F93)*H93+(G94-F94)*H94+(G95-F95)*H95)*$B$90*$C$90</f>
        <v>13694.895989215529</v>
      </c>
      <c r="K95" s="1698">
        <f>$M$32*(H91+(G93-F93)*H93+(G94-F94)*H94+(G95-F95)*H95)*$B$90*$C$90</f>
        <v>1141.2413324346273</v>
      </c>
      <c r="L95" s="1697">
        <f t="shared" si="5"/>
        <v>16433.875187058635</v>
      </c>
      <c r="M95" s="1698">
        <f t="shared" si="5"/>
        <v>1369.4895989215527</v>
      </c>
      <c r="N95" s="458"/>
      <c r="O95" s="887">
        <v>1</v>
      </c>
      <c r="P95" s="467"/>
      <c r="Q95" s="286">
        <f>O95*$Q$76*M95+O95*(1-$Q$76)*K95</f>
        <v>1255.36546567809</v>
      </c>
      <c r="R95" s="458"/>
      <c r="S95" s="891">
        <f>IF(AND(Q95&lt;&gt;0,O95&lt;&gt;0),Q95/(1+$D$17+$D$18+$D$19)/O95/30/(($D$25*1000000/$D$8))*1000,0)</f>
        <v>58.427571930335461</v>
      </c>
      <c r="T95" s="467" t="s">
        <v>382</v>
      </c>
      <c r="U95" s="870">
        <f>S95*O95*30*$D$11*(1+$D$24)/1000</f>
        <v>275.73547057574262</v>
      </c>
      <c r="V95" s="458" t="s">
        <v>383</v>
      </c>
      <c r="W95" s="870">
        <f>IF(O95&lt;&gt;0,U95/O95,0)</f>
        <v>275.73547057574262</v>
      </c>
      <c r="X95" s="467" t="s">
        <v>383</v>
      </c>
      <c r="Y95" s="265" t="str">
        <f>IF(O95=0,"-",IF(AND(((F95*(1-$Y$89))&lt;W95),(W95&lt;(G95*(1+$Y$89)))),"OK", "NOK"))</f>
        <v>OK</v>
      </c>
      <c r="Z95" s="151"/>
      <c r="AA95" s="249">
        <f>IF(OR(Y95="OK",Y95="-"),1,0)</f>
        <v>1</v>
      </c>
      <c r="AB95" s="473"/>
    </row>
    <row r="96" spans="1:28" s="262" customFormat="1" ht="24" hidden="1" customHeight="1" outlineLevel="1" x14ac:dyDescent="0.25">
      <c r="A96" s="458"/>
      <c r="B96" s="2309"/>
      <c r="C96" s="2310"/>
      <c r="D96" s="2312"/>
      <c r="E96" s="882"/>
      <c r="F96" s="1694">
        <f>G95</f>
        <v>500</v>
      </c>
      <c r="G96" s="1695">
        <v>1000</v>
      </c>
      <c r="H96" s="1696">
        <v>0.01</v>
      </c>
      <c r="I96" s="1516"/>
      <c r="J96" s="1697">
        <f>$L$32*(H91+(G93-F93)*H93+(G94-F94)*H94+(G95-F95)*H95+(G96-F96)*H96)*$B$90*$C$90</f>
        <v>19547.415642726439</v>
      </c>
      <c r="K96" s="1698">
        <f>$M$32*(H91+(G93-F93)*H93+(G94-F94)*H94+(G95-F95)*H95+(G96-F96)*H96)*$B$90*$C$90</f>
        <v>1628.9513035605366</v>
      </c>
      <c r="L96" s="1697">
        <f t="shared" si="5"/>
        <v>23456.898771271724</v>
      </c>
      <c r="M96" s="1698">
        <f t="shared" si="5"/>
        <v>1954.7415642726439</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1098</v>
      </c>
      <c r="E1" s="1588"/>
      <c r="F1" s="1588"/>
      <c r="G1" s="1588"/>
      <c r="H1" s="1588"/>
      <c r="I1" s="1588"/>
      <c r="J1" s="1588"/>
      <c r="K1" s="1588"/>
      <c r="L1" s="1588"/>
      <c r="M1" s="1588"/>
      <c r="N1" s="1588"/>
      <c r="O1" s="1588"/>
      <c r="P1" s="1588"/>
      <c r="Q1" s="1588"/>
      <c r="R1" s="1589"/>
      <c r="S1" s="1588"/>
    </row>
    <row r="2" spans="1:20" s="206" customFormat="1" ht="25.15" customHeight="1" x14ac:dyDescent="0.25">
      <c r="B2" s="2357" t="s">
        <v>869</v>
      </c>
      <c r="C2" s="2357"/>
      <c r="D2" s="2357"/>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7"/>
      <c r="C3" s="2357"/>
      <c r="D3" s="2357"/>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7"/>
      <c r="C4" s="2357"/>
      <c r="D4" s="2357"/>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1100</v>
      </c>
      <c r="D6" s="1977" t="s">
        <v>1099</v>
      </c>
      <c r="E6" s="1484"/>
      <c r="F6" s="2354" t="s">
        <v>389</v>
      </c>
      <c r="G6" s="2355"/>
      <c r="H6" s="2356"/>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-4.6895820560166612E-13</v>
      </c>
      <c r="H8" s="1965">
        <f>SUMIF(C33:BC33,1,C178:BC178)</f>
        <v>9.5923269327613525E-14</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1.1990408665951691E-14</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1.0494649406849641</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f>G9-C28</f>
        <v>-9.739999999998801E-2</v>
      </c>
      <c r="H10" s="1968">
        <f>H9-C28</f>
        <v>0.95206494068496406</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742.53668282306353</v>
      </c>
      <c r="H11" s="1970">
        <f>SUMIF(C33:BC33,1,C63:BC63)</f>
        <v>742.53668282306353</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1100</v>
      </c>
      <c r="D12" s="1979" t="s">
        <v>1099</v>
      </c>
      <c r="F12" s="1966" t="s">
        <v>397</v>
      </c>
      <c r="G12" s="1967">
        <f>G8/G11</f>
        <v>-6.3156234089166548E-16</v>
      </c>
      <c r="H12" s="1968">
        <f>H8/H11</f>
        <v>1.2918320609147702E-16</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35.000000000000028</v>
      </c>
      <c r="H13" s="1973">
        <f>IF(H8&lt;0,SUM(C183:BC183),SUM(C183:BC183))</f>
        <v>35</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0.99999999999999933</v>
      </c>
      <c r="H14" s="1976">
        <f>(SUMIF(C33:BC33,1,C178:BC178)+SUMIF(C33:BC33,1,C63:BC63))/SUMIF(C33:BC33,1,C63:BC63)</f>
        <v>1.0000000000000002</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68"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69"/>
      <c r="G17" s="2372" t="s">
        <v>873</v>
      </c>
      <c r="H17" s="2374"/>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69"/>
      <c r="G18" s="2373"/>
      <c r="H18" s="2375"/>
      <c r="I18" s="1941"/>
      <c r="J18" s="1469"/>
      <c r="K18" s="293"/>
      <c r="L18" s="293"/>
      <c r="M18" s="293"/>
      <c r="N18" s="293"/>
      <c r="O18" s="293"/>
      <c r="P18" s="293"/>
      <c r="Q18" s="293"/>
      <c r="R18" s="293"/>
      <c r="S18" s="295"/>
    </row>
    <row r="19" spans="1:58" s="206" customFormat="1" ht="2.65" customHeight="1" outlineLevel="1" x14ac:dyDescent="0.25">
      <c r="B19" s="1918"/>
      <c r="C19" s="1954"/>
      <c r="D19" s="1932"/>
      <c r="F19" s="2369"/>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1103</v>
      </c>
      <c r="D20" s="2004" t="s">
        <v>1103</v>
      </c>
      <c r="F20" s="2369"/>
      <c r="G20" s="1473">
        <v>0.05</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0.05</v>
      </c>
      <c r="D21" s="2095">
        <v>0.05</v>
      </c>
      <c r="E21" s="206" t="s">
        <v>399</v>
      </c>
      <c r="F21" s="2369"/>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69"/>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70"/>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71" t="s">
        <v>1101</v>
      </c>
      <c r="G26" s="2363"/>
      <c r="H26" s="1470">
        <f>'R&amp;C-Painel de Controle'!D33</f>
        <v>545.44961638466214</v>
      </c>
      <c r="I26" s="1608" t="s">
        <v>295</v>
      </c>
      <c r="J26" s="1606"/>
      <c r="K26" s="2362" t="s">
        <v>653</v>
      </c>
      <c r="L26" s="2363"/>
      <c r="M26" s="1471">
        <f>G8</f>
        <v>-4.6895820560166612E-13</v>
      </c>
      <c r="N26" s="1608" t="s">
        <v>304</v>
      </c>
      <c r="O26" s="2352" t="s">
        <v>654</v>
      </c>
      <c r="P26" s="2352"/>
      <c r="Q26" s="2353"/>
      <c r="R26" s="1472">
        <f>G14</f>
        <v>0.99999999999999933</v>
      </c>
      <c r="S26" s="1610" t="s">
        <v>195</v>
      </c>
      <c r="T26" s="293"/>
    </row>
    <row r="27" spans="1:58" s="206" customFormat="1" ht="19.899999999999999" customHeight="1" outlineLevel="1" thickTop="1" x14ac:dyDescent="0.25">
      <c r="B27" s="1924" t="s">
        <v>401</v>
      </c>
      <c r="C27" s="1961" t="s">
        <v>289</v>
      </c>
      <c r="D27" s="1981" t="s">
        <v>289</v>
      </c>
      <c r="F27" s="2367" t="s">
        <v>655</v>
      </c>
      <c r="G27" s="2365"/>
      <c r="H27" s="911">
        <f>'R&amp;C-Painel de Controle'!D32</f>
        <v>35</v>
      </c>
      <c r="I27" s="1609" t="s">
        <v>388</v>
      </c>
      <c r="J27" s="1607"/>
      <c r="K27" s="2364" t="s">
        <v>656</v>
      </c>
      <c r="L27" s="2365"/>
      <c r="M27" s="912">
        <f>G9</f>
        <v>1.1990408665951691E-14</v>
      </c>
      <c r="N27" s="1609" t="s">
        <v>195</v>
      </c>
      <c r="O27" s="1607"/>
      <c r="P27" s="1611"/>
      <c r="Q27" s="1612"/>
      <c r="R27" s="1612"/>
      <c r="S27" s="1613"/>
      <c r="T27" s="293"/>
    </row>
    <row r="28" spans="1:58" s="206" customFormat="1" ht="18" customHeight="1" outlineLevel="1" thickBot="1" x14ac:dyDescent="0.3">
      <c r="B28" s="1928" t="s">
        <v>668</v>
      </c>
      <c r="C28" s="1962">
        <f>C14*C16+C18*C21*(1-(C25+C26))</f>
        <v>9.74E-2</v>
      </c>
      <c r="D28" s="1933">
        <f>D14*D16+D18*D21*(1-(D25+D26))</f>
        <v>6.0600000000000001E-2</v>
      </c>
      <c r="E28" s="206" t="s">
        <v>399</v>
      </c>
      <c r="F28" s="2358" t="s">
        <v>657</v>
      </c>
      <c r="G28" s="2359"/>
      <c r="H28" s="1988">
        <f>H26*('R&amp;C-Painel de Controle'!D7*30/'R&amp;C-Painel de Controle'!D6)</f>
        <v>18.603812614729165</v>
      </c>
      <c r="I28" s="1989" t="s">
        <v>299</v>
      </c>
      <c r="J28" s="1607"/>
      <c r="K28" s="2366" t="s">
        <v>658</v>
      </c>
      <c r="L28" s="2359"/>
      <c r="M28" s="1990">
        <f>G13</f>
        <v>35.000000000000028</v>
      </c>
      <c r="N28" s="1609" t="s">
        <v>388</v>
      </c>
      <c r="O28" s="1607"/>
      <c r="P28" s="1607"/>
      <c r="Q28" s="1607"/>
      <c r="R28" s="1607"/>
      <c r="S28" s="1613"/>
      <c r="T28" s="293"/>
    </row>
    <row r="29" spans="1:58" s="206" customFormat="1" ht="18" customHeight="1" outlineLevel="1" thickTop="1" thickBot="1" x14ac:dyDescent="0.3">
      <c r="B29" s="324"/>
      <c r="F29" s="2360" t="s">
        <v>1102</v>
      </c>
      <c r="G29" s="2361"/>
      <c r="H29" s="1991">
        <f>'R&amp;C-Painel de Controle'!H33</f>
        <v>607.24899876865459</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18308.493589743593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18394.543509615389</v>
      </c>
      <c r="G42" s="333">
        <f t="shared" si="10"/>
        <v>18394.543509615389</v>
      </c>
      <c r="H42" s="333">
        <f t="shared" si="10"/>
        <v>18394.543509615389</v>
      </c>
      <c r="I42" s="333">
        <f t="shared" si="10"/>
        <v>18394.543509615389</v>
      </c>
      <c r="J42" s="333">
        <f t="shared" si="10"/>
        <v>18394.543509615389</v>
      </c>
      <c r="K42" s="333">
        <f t="shared" si="10"/>
        <v>18394.543509615389</v>
      </c>
      <c r="L42" s="333">
        <f t="shared" si="10"/>
        <v>18394.543509615389</v>
      </c>
      <c r="M42" s="333">
        <f t="shared" si="10"/>
        <v>18394.543509615389</v>
      </c>
      <c r="N42" s="333">
        <f t="shared" si="10"/>
        <v>18394.543509615389</v>
      </c>
      <c r="O42" s="333">
        <f t="shared" si="10"/>
        <v>18394.543509615389</v>
      </c>
      <c r="P42" s="333">
        <f t="shared" si="10"/>
        <v>18394.543509615389</v>
      </c>
      <c r="Q42" s="333">
        <f t="shared" si="10"/>
        <v>18394.543509615389</v>
      </c>
      <c r="R42" s="333">
        <f t="shared" ref="R42:BC42" si="11">Q42*(1+$C$8)</f>
        <v>18480.997864110581</v>
      </c>
      <c r="S42" s="333">
        <f t="shared" si="11"/>
        <v>18567.8585540719</v>
      </c>
      <c r="T42" s="333">
        <f t="shared" si="11"/>
        <v>18655.127489276038</v>
      </c>
      <c r="U42" s="333">
        <f t="shared" si="11"/>
        <v>18742.806588475632</v>
      </c>
      <c r="V42" s="333">
        <f t="shared" si="11"/>
        <v>18830.897779441468</v>
      </c>
      <c r="W42" s="333">
        <f t="shared" si="11"/>
        <v>18919.40299900484</v>
      </c>
      <c r="X42" s="333">
        <f t="shared" si="11"/>
        <v>19008.324193100161</v>
      </c>
      <c r="Y42" s="333">
        <f t="shared" si="11"/>
        <v>19097.663316807731</v>
      </c>
      <c r="Z42" s="333">
        <f t="shared" si="11"/>
        <v>19187.422334396728</v>
      </c>
      <c r="AA42" s="333">
        <f t="shared" si="11"/>
        <v>19277.60321936839</v>
      </c>
      <c r="AB42" s="333">
        <f t="shared" si="11"/>
        <v>19368.207954499419</v>
      </c>
      <c r="AC42" s="333">
        <f t="shared" si="11"/>
        <v>19459.238531885567</v>
      </c>
      <c r="AD42" s="333">
        <f t="shared" si="11"/>
        <v>19550.696952985429</v>
      </c>
      <c r="AE42" s="333">
        <f t="shared" si="11"/>
        <v>19642.585228664459</v>
      </c>
      <c r="AF42" s="333">
        <f t="shared" si="11"/>
        <v>19734.905379239179</v>
      </c>
      <c r="AG42" s="333">
        <f t="shared" si="11"/>
        <v>19827.6594345216</v>
      </c>
      <c r="AH42" s="333">
        <f t="shared" si="11"/>
        <v>19920.849433863848</v>
      </c>
      <c r="AI42" s="333">
        <f t="shared" si="11"/>
        <v>20014.477426203008</v>
      </c>
      <c r="AJ42" s="333">
        <f t="shared" si="11"/>
        <v>20108.545470106161</v>
      </c>
      <c r="AK42" s="333">
        <f t="shared" si="11"/>
        <v>20203.055633815657</v>
      </c>
      <c r="AL42" s="333">
        <f t="shared" si="11"/>
        <v>20298.009995294589</v>
      </c>
      <c r="AM42" s="333">
        <f t="shared" si="11"/>
        <v>20393.410642272473</v>
      </c>
      <c r="AN42" s="333">
        <f t="shared" si="11"/>
        <v>20489.259672291151</v>
      </c>
      <c r="AO42" s="333">
        <f t="shared" si="11"/>
        <v>20585.559192750919</v>
      </c>
      <c r="AP42" s="333">
        <f t="shared" si="11"/>
        <v>20682.311320956847</v>
      </c>
      <c r="AQ42" s="333">
        <f t="shared" si="11"/>
        <v>20779.518184165343</v>
      </c>
      <c r="AR42" s="333">
        <f t="shared" si="11"/>
        <v>20877.181919630919</v>
      </c>
      <c r="AS42" s="333">
        <f t="shared" si="11"/>
        <v>20975.304674653184</v>
      </c>
      <c r="AT42" s="333">
        <f t="shared" si="11"/>
        <v>21073.888606624052</v>
      </c>
      <c r="AU42" s="333">
        <f t="shared" si="11"/>
        <v>21172.935883075184</v>
      </c>
      <c r="AV42" s="333">
        <f t="shared" si="11"/>
        <v>21272.448681725637</v>
      </c>
      <c r="AW42" s="333">
        <f t="shared" si="11"/>
        <v>21372.429190529747</v>
      </c>
      <c r="AX42" s="333">
        <f t="shared" si="11"/>
        <v>21472.879607725234</v>
      </c>
      <c r="AY42" s="333">
        <f t="shared" si="11"/>
        <v>21573.802141881541</v>
      </c>
      <c r="AZ42" s="333">
        <f t="shared" si="11"/>
        <v>21675.199011948382</v>
      </c>
      <c r="BA42" s="333">
        <f t="shared" si="11"/>
        <v>21777.072447304537</v>
      </c>
      <c r="BB42" s="333">
        <f t="shared" si="11"/>
        <v>21879.424687806866</v>
      </c>
      <c r="BC42" s="333">
        <f t="shared" si="11"/>
        <v>21982.257983839558</v>
      </c>
      <c r="BD42" s="305"/>
      <c r="BE42" s="305"/>
      <c r="BF42" s="305"/>
    </row>
    <row r="43" spans="1:58" s="206" customFormat="1" ht="18" hidden="1" customHeight="1" outlineLevel="1" x14ac:dyDescent="0.25">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25">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25">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25">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25">
      <c r="B55" s="906" t="str">
        <f>B83</f>
        <v>Incineração</v>
      </c>
      <c r="C55" s="325" t="str">
        <f>C83</f>
        <v>Sim</v>
      </c>
      <c r="D55" s="325">
        <f>'R&amp;C-Painel de Controle'!H70</f>
        <v>145007.84635416669</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145689.38323203125</v>
      </c>
      <c r="G57" s="333">
        <f t="shared" si="25"/>
        <v>145689.38323203125</v>
      </c>
      <c r="H57" s="333">
        <f t="shared" si="25"/>
        <v>145689.38323203125</v>
      </c>
      <c r="I57" s="333">
        <f t="shared" si="25"/>
        <v>145689.38323203125</v>
      </c>
      <c r="J57" s="333">
        <f t="shared" si="25"/>
        <v>145689.38323203125</v>
      </c>
      <c r="K57" s="333">
        <f t="shared" si="25"/>
        <v>145689.38323203125</v>
      </c>
      <c r="L57" s="333">
        <f t="shared" si="25"/>
        <v>145689.38323203125</v>
      </c>
      <c r="M57" s="333">
        <f t="shared" si="25"/>
        <v>145689.38323203125</v>
      </c>
      <c r="N57" s="333">
        <f t="shared" si="25"/>
        <v>145689.38323203125</v>
      </c>
      <c r="O57" s="333">
        <f t="shared" si="25"/>
        <v>145689.38323203125</v>
      </c>
      <c r="P57" s="333">
        <f t="shared" si="25"/>
        <v>145689.38323203125</v>
      </c>
      <c r="Q57" s="333">
        <f t="shared" si="25"/>
        <v>145689.38323203125</v>
      </c>
      <c r="R57" s="333">
        <f t="shared" ref="R57:BC57" si="26">Q57*(1+$C$8)</f>
        <v>146374.1233332218</v>
      </c>
      <c r="S57" s="333">
        <f t="shared" si="26"/>
        <v>147062.08171288791</v>
      </c>
      <c r="T57" s="333">
        <f t="shared" si="26"/>
        <v>147753.27349693846</v>
      </c>
      <c r="U57" s="333">
        <f t="shared" si="26"/>
        <v>148447.71388237405</v>
      </c>
      <c r="V57" s="333">
        <f t="shared" si="26"/>
        <v>149145.41813762119</v>
      </c>
      <c r="W57" s="333">
        <f t="shared" si="26"/>
        <v>149846.40160286799</v>
      </c>
      <c r="X57" s="333">
        <f t="shared" si="26"/>
        <v>150550.67969040145</v>
      </c>
      <c r="Y57" s="333">
        <f t="shared" si="26"/>
        <v>151258.26788494631</v>
      </c>
      <c r="Z57" s="333">
        <f t="shared" si="26"/>
        <v>151969.18174400556</v>
      </c>
      <c r="AA57" s="333">
        <f t="shared" si="26"/>
        <v>152683.43689820237</v>
      </c>
      <c r="AB57" s="333">
        <f t="shared" si="26"/>
        <v>153401.04905162391</v>
      </c>
      <c r="AC57" s="333">
        <f t="shared" si="26"/>
        <v>154122.03398216653</v>
      </c>
      <c r="AD57" s="333">
        <f t="shared" si="26"/>
        <v>154846.40754188268</v>
      </c>
      <c r="AE57" s="333">
        <f t="shared" si="26"/>
        <v>155574.18565732951</v>
      </c>
      <c r="AF57" s="333">
        <f t="shared" si="26"/>
        <v>156305.38432991895</v>
      </c>
      <c r="AG57" s="333">
        <f t="shared" si="26"/>
        <v>157040.01963626954</v>
      </c>
      <c r="AH57" s="333">
        <f t="shared" si="26"/>
        <v>157778.10772855999</v>
      </c>
      <c r="AI57" s="333">
        <f t="shared" si="26"/>
        <v>158519.6648348842</v>
      </c>
      <c r="AJ57" s="333">
        <f t="shared" si="26"/>
        <v>159264.70725960814</v>
      </c>
      <c r="AK57" s="333">
        <f t="shared" si="26"/>
        <v>160013.25138372829</v>
      </c>
      <c r="AL57" s="333">
        <f t="shared" si="26"/>
        <v>160765.31366523181</v>
      </c>
      <c r="AM57" s="333">
        <f t="shared" si="26"/>
        <v>161520.91063945839</v>
      </c>
      <c r="AN57" s="333">
        <f t="shared" si="26"/>
        <v>162280.05891946383</v>
      </c>
      <c r="AO57" s="333">
        <f t="shared" si="26"/>
        <v>163042.77519638531</v>
      </c>
      <c r="AP57" s="333">
        <f t="shared" si="26"/>
        <v>163809.07623980832</v>
      </c>
      <c r="AQ57" s="333">
        <f t="shared" si="26"/>
        <v>164578.97889813539</v>
      </c>
      <c r="AR57" s="333">
        <f t="shared" si="26"/>
        <v>165352.5000989566</v>
      </c>
      <c r="AS57" s="333">
        <f t="shared" si="26"/>
        <v>166129.65684942168</v>
      </c>
      <c r="AT57" s="333">
        <f t="shared" si="26"/>
        <v>166910.46623661395</v>
      </c>
      <c r="AU57" s="333">
        <f t="shared" si="26"/>
        <v>167694.94542792602</v>
      </c>
      <c r="AV57" s="333">
        <f t="shared" si="26"/>
        <v>168483.11167143728</v>
      </c>
      <c r="AW57" s="333">
        <f t="shared" si="26"/>
        <v>169274.98229629302</v>
      </c>
      <c r="AX57" s="333">
        <f t="shared" si="26"/>
        <v>170070.57471308557</v>
      </c>
      <c r="AY57" s="333">
        <f t="shared" si="26"/>
        <v>170869.90641423708</v>
      </c>
      <c r="AZ57" s="333">
        <f t="shared" si="26"/>
        <v>171672.99497438397</v>
      </c>
      <c r="BA57" s="333">
        <f t="shared" si="26"/>
        <v>172479.85805076355</v>
      </c>
      <c r="BB57" s="333">
        <f t="shared" si="26"/>
        <v>173290.51338360211</v>
      </c>
      <c r="BC57" s="333">
        <f t="shared" si="26"/>
        <v>174104.97879650502</v>
      </c>
      <c r="BD57" s="305"/>
      <c r="BE57" s="305"/>
      <c r="BF57" s="305"/>
    </row>
    <row r="58" spans="1:58" s="206" customFormat="1" ht="18" hidden="1" customHeight="1" outlineLevel="1" x14ac:dyDescent="0.25">
      <c r="B58" s="906" t="str">
        <f>B86</f>
        <v>Aterro Sanitário</v>
      </c>
      <c r="C58" s="325" t="str">
        <f>C86</f>
        <v>Sim</v>
      </c>
      <c r="D58" s="325">
        <f>'R&amp;C-Painel de Controle'!H73</f>
        <v>47781.569270833337</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48006.142646406253</v>
      </c>
      <c r="G60" s="333">
        <f t="shared" si="28"/>
        <v>48006.142646406253</v>
      </c>
      <c r="H60" s="333">
        <f t="shared" si="28"/>
        <v>48006.142646406253</v>
      </c>
      <c r="I60" s="333">
        <f t="shared" si="28"/>
        <v>48006.142646406253</v>
      </c>
      <c r="J60" s="333">
        <f t="shared" si="28"/>
        <v>48006.142646406253</v>
      </c>
      <c r="K60" s="333">
        <f t="shared" si="28"/>
        <v>48006.142646406253</v>
      </c>
      <c r="L60" s="333">
        <f t="shared" si="28"/>
        <v>48006.142646406253</v>
      </c>
      <c r="M60" s="333">
        <f t="shared" si="28"/>
        <v>48006.142646406253</v>
      </c>
      <c r="N60" s="333">
        <f t="shared" si="28"/>
        <v>48006.142646406253</v>
      </c>
      <c r="O60" s="333">
        <f t="shared" si="28"/>
        <v>48006.142646406253</v>
      </c>
      <c r="P60" s="333">
        <f t="shared" si="28"/>
        <v>48006.142646406253</v>
      </c>
      <c r="Q60" s="333">
        <f t="shared" si="28"/>
        <v>48006.142646406253</v>
      </c>
      <c r="R60" s="333">
        <f t="shared" ref="R60:BC60" si="29">Q60*(1+$C$8)</f>
        <v>48231.771516844361</v>
      </c>
      <c r="S60" s="333">
        <f t="shared" si="29"/>
        <v>48458.460842973524</v>
      </c>
      <c r="T60" s="333">
        <f t="shared" si="29"/>
        <v>48686.215608935498</v>
      </c>
      <c r="U60" s="333">
        <f t="shared" si="29"/>
        <v>48915.040822297487</v>
      </c>
      <c r="V60" s="333">
        <f t="shared" si="29"/>
        <v>49144.941514162281</v>
      </c>
      <c r="W60" s="333">
        <f t="shared" si="29"/>
        <v>49375.922739278838</v>
      </c>
      <c r="X60" s="333">
        <f t="shared" si="29"/>
        <v>49607.989576153443</v>
      </c>
      <c r="Y60" s="333">
        <f t="shared" si="29"/>
        <v>49841.147127161363</v>
      </c>
      <c r="Z60" s="333">
        <f t="shared" si="29"/>
        <v>50075.400518659015</v>
      </c>
      <c r="AA60" s="333">
        <f t="shared" si="29"/>
        <v>50310.754901096705</v>
      </c>
      <c r="AB60" s="333">
        <f t="shared" si="29"/>
        <v>50547.215449131858</v>
      </c>
      <c r="AC60" s="333">
        <f t="shared" si="29"/>
        <v>50784.787361742776</v>
      </c>
      <c r="AD60" s="333">
        <f t="shared" si="29"/>
        <v>51023.475862342966</v>
      </c>
      <c r="AE60" s="333">
        <f t="shared" si="29"/>
        <v>51263.286198895978</v>
      </c>
      <c r="AF60" s="333">
        <f t="shared" si="29"/>
        <v>51504.223644030782</v>
      </c>
      <c r="AG60" s="333">
        <f t="shared" si="29"/>
        <v>51746.293495157726</v>
      </c>
      <c r="AH60" s="333">
        <f t="shared" si="29"/>
        <v>51989.501074584965</v>
      </c>
      <c r="AI60" s="333">
        <f t="shared" si="29"/>
        <v>52233.851729635513</v>
      </c>
      <c r="AJ60" s="333">
        <f t="shared" si="29"/>
        <v>52479.350832764794</v>
      </c>
      <c r="AK60" s="333">
        <f t="shared" si="29"/>
        <v>52726.003781678788</v>
      </c>
      <c r="AL60" s="333">
        <f t="shared" si="29"/>
        <v>52973.815999452672</v>
      </c>
      <c r="AM60" s="333">
        <f t="shared" si="29"/>
        <v>53222.792934650097</v>
      </c>
      <c r="AN60" s="333">
        <f t="shared" si="29"/>
        <v>53472.940061442947</v>
      </c>
      <c r="AO60" s="333">
        <f t="shared" si="29"/>
        <v>53724.262879731723</v>
      </c>
      <c r="AP60" s="333">
        <f t="shared" si="29"/>
        <v>53976.76691526646</v>
      </c>
      <c r="AQ60" s="333">
        <f t="shared" si="29"/>
        <v>54230.457719768208</v>
      </c>
      <c r="AR60" s="333">
        <f t="shared" si="29"/>
        <v>54485.340871051114</v>
      </c>
      <c r="AS60" s="333">
        <f t="shared" si="29"/>
        <v>54741.42197314505</v>
      </c>
      <c r="AT60" s="333">
        <f t="shared" si="29"/>
        <v>54998.706656418828</v>
      </c>
      <c r="AU60" s="333">
        <f t="shared" si="29"/>
        <v>55257.200577703996</v>
      </c>
      <c r="AV60" s="333">
        <f t="shared" si="29"/>
        <v>55516.909420419201</v>
      </c>
      <c r="AW60" s="333">
        <f t="shared" si="29"/>
        <v>55777.838894695167</v>
      </c>
      <c r="AX60" s="333">
        <f t="shared" si="29"/>
        <v>56039.99473750023</v>
      </c>
      <c r="AY60" s="333">
        <f t="shared" si="29"/>
        <v>56303.382712766477</v>
      </c>
      <c r="AZ60" s="333">
        <f t="shared" si="29"/>
        <v>56568.008611516474</v>
      </c>
      <c r="BA60" s="333">
        <f t="shared" si="29"/>
        <v>56833.878251990594</v>
      </c>
      <c r="BB60" s="333">
        <f t="shared" si="29"/>
        <v>57100.997479774946</v>
      </c>
      <c r="BC60" s="333">
        <f t="shared" si="29"/>
        <v>57369.372167929883</v>
      </c>
      <c r="BD60" s="305"/>
      <c r="BE60" s="305"/>
      <c r="BF60" s="305"/>
    </row>
    <row r="61" spans="1:58" s="206" customFormat="1" ht="18" hidden="1" customHeight="1" outlineLevel="1" x14ac:dyDescent="0.25">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173.56270709055957</v>
      </c>
      <c r="D63" s="306">
        <f>((D67+D70+D73+D76+D79+D82+D85+D88+'R&amp;C-Painel de Controle'!I21)+('R&amp;C-Painel de Controle'!$K$77*$H$27/5+'R&amp;C-Painel de Controle'!$K$75*$H$27/20+'R&amp;C-Painel de Controle'!$D$29+'R&amp;C-Painel de Controle'!$D$30)/3*(1+$C$62))</f>
        <v>333.01295951874692</v>
      </c>
      <c r="E63" s="306">
        <f>((E67+E70+E73+E76+E79+E82+E85+E88+'R&amp;C-Painel de Controle'!J21)+('R&amp;C-Painel de Controle'!$K$77*$H$27/5+'R&amp;C-Painel de Controle'!$K$75*$H$27/20+'R&amp;C-Painel de Controle'!$D$29+'R&amp;C-Painel de Controle'!$D$30)/3*(1+$C$62))</f>
        <v>235.96101621375709</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39.635249916293084</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11.890574974887924</v>
      </c>
      <c r="D70" s="333">
        <f>D69*$D$68</f>
        <v>7.927049983258617</v>
      </c>
      <c r="E70" s="333">
        <f>E69*$D$68</f>
        <v>19.817624958146542</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Não'</v>
      </c>
      <c r="D77" s="336">
        <f>'R&amp;C-Painel de Controle'!K64</f>
        <v>0</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Sim</v>
      </c>
      <c r="D83" s="336">
        <f>'R&amp;C-Painel de Controle'!K70</f>
        <v>530.03107847815727</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106.00621569563145</v>
      </c>
      <c r="D85" s="334">
        <f t="shared" si="39"/>
        <v>265.01553923907863</v>
      </c>
      <c r="E85" s="332">
        <f t="shared" si="39"/>
        <v>159.00932354344718</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14.681512921231771</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2.9363025842463544</v>
      </c>
      <c r="D88" s="334">
        <f t="shared" si="40"/>
        <v>7.3407564606158857</v>
      </c>
      <c r="E88" s="332">
        <f t="shared" si="40"/>
        <v>4.4044538763695309</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48.657081325650239</v>
      </c>
      <c r="G90" s="306">
        <f>IF('R&amp;C-Painel de Controle'!$D$24="Não",G94+G97+G100+G103+G106+G109+G112+G115,G94+G97+G100+G103+G106+G109+G112+G115+'R&amp;C-Painel de Controle'!$L$91)</f>
        <v>48.657081325650239</v>
      </c>
      <c r="H90" s="306">
        <f>IF('R&amp;C-Painel de Controle'!$D$24="Não",H94+H97+H100+H103+H106+H109+H112+H115,H94+H97+H100+H103+H106+H109+H112+H115+'R&amp;C-Painel de Controle'!$L$91)</f>
        <v>48.657081325650239</v>
      </c>
      <c r="I90" s="306">
        <f>IF('R&amp;C-Painel de Controle'!$D$24="Não",I94+I97+I100+I103+I106+I109+I112+I115,I94+I97+I100+I103+I106+I109+I112+I115+'R&amp;C-Painel de Controle'!$L$91)</f>
        <v>48.657081325650239</v>
      </c>
      <c r="J90" s="306">
        <f>IF('R&amp;C-Painel de Controle'!$D$24="Não",J94+J97+J100+J103+J106+J109+J112+J115,J94+J97+J100+J103+J106+J109+J112+J115+'R&amp;C-Painel de Controle'!$L$91)</f>
        <v>48.657081325650239</v>
      </c>
      <c r="K90" s="306">
        <f>IF('R&amp;C-Painel de Controle'!$D$24="Não",K94+K97+K100+K103+K106+K109+K112+K115,K94+K97+K100+K103+K106+K109+K112+K115+'R&amp;C-Painel de Controle'!$L$91)</f>
        <v>48.657081325650239</v>
      </c>
      <c r="L90" s="306">
        <f>IF('R&amp;C-Painel de Controle'!$D$24="Não",L94+L97+L100+L103+L106+L109+L112+L115,L94+L97+L100+L103+L106+L109+L112+L115+'R&amp;C-Painel de Controle'!$L$91)</f>
        <v>48.657081325650239</v>
      </c>
      <c r="M90" s="306">
        <f>IF('R&amp;C-Painel de Controle'!$D$24="Não",M94+M97+M100+M103+M106+M109+M112+M115,M94+M97+M100+M103+M106+M109+M112+M115+'R&amp;C-Painel de Controle'!$L$91)</f>
        <v>48.657081325650239</v>
      </c>
      <c r="N90" s="306">
        <f>IF('R&amp;C-Painel de Controle'!$D$24="Não",N94+N97+N100+N103+N106+N109+N112+N115,N94+N97+N100+N103+N106+N109+N112+N115+'R&amp;C-Painel de Controle'!$L$91)</f>
        <v>48.657081325650239</v>
      </c>
      <c r="O90" s="306">
        <f>IF('R&amp;C-Painel de Controle'!$D$24="Não",O94+O97+O100+O103+O106+O109+O112+O115,O94+O97+O100+O103+O106+O109+O112+O115+'R&amp;C-Painel de Controle'!$L$91)</f>
        <v>48.657081325650239</v>
      </c>
      <c r="P90" s="306">
        <f>IF('R&amp;C-Painel de Controle'!$D$24="Não",P94+P97+P100+P103+P106+P109+P112+P115,P94+P97+P100+P103+P106+P109+P112+P115+'R&amp;C-Painel de Controle'!$L$91)</f>
        <v>48.657081325650239</v>
      </c>
      <c r="Q90" s="306">
        <f>IF('R&amp;C-Painel de Controle'!$D$24="Não",Q94+Q97+Q100+Q103+Q106+Q109+Q112+Q115,Q94+Q97+Q100+Q103+Q106+Q109+Q112+Q115+'R&amp;C-Painel de Controle'!$L$91)</f>
        <v>48.657081325650239</v>
      </c>
      <c r="R90" s="306">
        <f>IF('R&amp;C-Painel de Controle'!$D$24="Não",R94+R97+R100+R103+R106+R109+R112+R115,R94+R97+R100+R103+R106+R109+R112+R115+'R&amp;C-Painel de Controle'!$L$91)</f>
        <v>48.657081325650239</v>
      </c>
      <c r="S90" s="306">
        <f>IF('R&amp;C-Painel de Controle'!$D$24="Não",S94+S97+S100+S103+S106+S109+S112+S115,S94+S97+S100+S103+S106+S109+S112+S115+'R&amp;C-Painel de Controle'!$L$91)</f>
        <v>48.657081325650239</v>
      </c>
      <c r="T90" s="306">
        <f>IF('R&amp;C-Painel de Controle'!$D$24="Não",T94+T97+T100+T103+T106+T109+T112+T115,T94+T97+T100+T103+T106+T109+T112+T115+'R&amp;C-Painel de Controle'!$L$91)</f>
        <v>48.657081325650239</v>
      </c>
      <c r="U90" s="306">
        <f>IF('R&amp;C-Painel de Controle'!$D$24="Não",U94+U97+U100+U103+U106+U109+U112+U115,U94+U97+U100+U103+U106+U109+U112+U115+'R&amp;C-Painel de Controle'!$L$91)</f>
        <v>48.657081325650239</v>
      </c>
      <c r="V90" s="306">
        <f>IF('R&amp;C-Painel de Controle'!$D$24="Não",V94+V97+V100+V103+V106+V109+V112+V115,V94+V97+V100+V103+V106+V109+V112+V115+'R&amp;C-Painel de Controle'!$L$91)</f>
        <v>48.657081325650239</v>
      </c>
      <c r="W90" s="306">
        <f>IF('R&amp;C-Painel de Controle'!$D$24="Não",W94+W97+W100+W103+W106+W109+W112+W115,W94+W97+W100+W103+W106+W109+W112+W115+'R&amp;C-Painel de Controle'!$L$91)</f>
        <v>48.657081325650239</v>
      </c>
      <c r="X90" s="306">
        <f>IF('R&amp;C-Painel de Controle'!$D$24="Não",X94+X97+X100+X103+X106+X109+X112+X115,X94+X97+X100+X103+X106+X109+X112+X115+'R&amp;C-Painel de Controle'!$L$91)</f>
        <v>48.657081325650239</v>
      </c>
      <c r="Y90" s="306">
        <f>IF('R&amp;C-Painel de Controle'!$D$24="Não",Y94+Y97+Y100+Y103+Y106+Y109+Y112+Y115,Y94+Y97+Y100+Y103+Y106+Y109+Y112+Y115+'R&amp;C-Painel de Controle'!$L$91)</f>
        <v>48.657081325650239</v>
      </c>
      <c r="Z90" s="306">
        <f>IF('R&amp;C-Painel de Controle'!$D$24="Não",Z94+Z97+Z100+Z103+Z106+Z109+Z112+Z115,Z94+Z97+Z100+Z103+Z106+Z109+Z112+Z115+'R&amp;C-Painel de Controle'!$L$91)</f>
        <v>48.657081325650239</v>
      </c>
      <c r="AA90" s="306">
        <f>IF('R&amp;C-Painel de Controle'!$D$24="Não",AA94+AA97+AA100+AA103+AA106+AA109+AA112+AA115,AA94+AA97+AA100+AA103+AA106+AA109+AA112+AA115+'R&amp;C-Painel de Controle'!$L$91)</f>
        <v>48.657081325650239</v>
      </c>
      <c r="AB90" s="306">
        <f>IF('R&amp;C-Painel de Controle'!$D$24="Não",AB94+AB97+AB100+AB103+AB106+AB109+AB112+AB115,AB94+AB97+AB100+AB103+AB106+AB109+AB112+AB115+'R&amp;C-Painel de Controle'!$L$91)</f>
        <v>48.657081325650239</v>
      </c>
      <c r="AC90" s="306">
        <f>IF('R&amp;C-Painel de Controle'!$D$24="Não",AC94+AC97+AC100+AC103+AC106+AC109+AC112+AC115,AC94+AC97+AC100+AC103+AC106+AC109+AC112+AC115+'R&amp;C-Painel de Controle'!$L$91)</f>
        <v>48.657081325650239</v>
      </c>
      <c r="AD90" s="306">
        <f>IF('R&amp;C-Painel de Controle'!$D$24="Não",AD94+AD97+AD100+AD103+AD106+AD109+AD112+AD115,AD94+AD97+AD100+AD103+AD106+AD109+AD112+AD115+'R&amp;C-Painel de Controle'!$L$91)</f>
        <v>48.657081325650239</v>
      </c>
      <c r="AE90" s="306">
        <f>IF('R&amp;C-Painel de Controle'!$D$24="Não",AE94+AE97+AE100+AE103+AE106+AE109+AE112+AE115,AE94+AE97+AE100+AE103+AE106+AE109+AE112+AE115+'R&amp;C-Painel de Controle'!$L$91)</f>
        <v>48.657081325650239</v>
      </c>
      <c r="AF90" s="306">
        <f>IF('R&amp;C-Painel de Controle'!$D$24="Não",AF94+AF97+AF100+AF103+AF106+AF109+AF112+AF115,AF94+AF97+AF100+AF103+AF106+AF109+AF112+AF115+'R&amp;C-Painel de Controle'!$L$91)</f>
        <v>48.657081325650239</v>
      </c>
      <c r="AG90" s="306">
        <f>IF('R&amp;C-Painel de Controle'!$D$24="Não",AG94+AG97+AG100+AG103+AG106+AG109+AG112+AG115,AG94+AG97+AG100+AG103+AG106+AG109+AG112+AG115+'R&amp;C-Painel de Controle'!$L$91)</f>
        <v>48.657081325650239</v>
      </c>
      <c r="AH90" s="306">
        <f>IF('R&amp;C-Painel de Controle'!$D$24="Não",AH94+AH97+AH100+AH103+AH106+AH109+AH112+AH115,AH94+AH97+AH100+AH103+AH106+AH109+AH112+AH115+'R&amp;C-Painel de Controle'!$L$91)</f>
        <v>48.657081325650239</v>
      </c>
      <c r="AI90" s="306">
        <f>IF('R&amp;C-Painel de Controle'!$D$24="Não",AI94+AI97+AI100+AI103+AI106+AI109+AI112+AI115,AI94+AI97+AI100+AI103+AI106+AI109+AI112+AI115+'R&amp;C-Painel de Controle'!$L$91)</f>
        <v>48.657081325650239</v>
      </c>
      <c r="AJ90" s="306">
        <f>IF('R&amp;C-Painel de Controle'!$D$24="Não",AJ94+AJ97+AJ100+AJ103+AJ106+AJ109+AJ112+AJ115,AJ94+AJ97+AJ100+AJ103+AJ106+AJ109+AJ112+AJ115+'R&amp;C-Painel de Controle'!$L$91)</f>
        <v>48.657081325650239</v>
      </c>
      <c r="AK90" s="306">
        <f>IF('R&amp;C-Painel de Controle'!$D$24="Não",AK94+AK97+AK100+AK103+AK106+AK109+AK112+AK115,AK94+AK97+AK100+AK103+AK106+AK109+AK112+AK115+'R&amp;C-Painel de Controle'!$L$91)</f>
        <v>48.657081325650239</v>
      </c>
      <c r="AL90" s="306">
        <f>IF('R&amp;C-Painel de Controle'!$D$24="Não",AL94+AL97+AL100+AL103+AL106+AL109+AL112+AL115,AL94+AL97+AL100+AL103+AL106+AL109+AL112+AL115+'R&amp;C-Painel de Controle'!$L$91)</f>
        <v>48.657081325650239</v>
      </c>
      <c r="AM90" s="306">
        <f>IF('R&amp;C-Painel de Controle'!$D$24="Não",AM94+AM97+AM100+AM103+AM106+AM109+AM112+AM115,AM94+AM97+AM100+AM103+AM106+AM109+AM112+AM115+'R&amp;C-Painel de Controle'!$L$91)</f>
        <v>48.657081325650239</v>
      </c>
      <c r="AN90" s="306">
        <f>IF('R&amp;C-Painel de Controle'!$D$24="Não",AN94+AN97+AN100+AN103+AN106+AN109+AN112+AN115,AN94+AN97+AN100+AN103+AN106+AN109+AN112+AN115+'R&amp;C-Painel de Controle'!$L$91)</f>
        <v>48.657081325650239</v>
      </c>
      <c r="AO90" s="306">
        <f>IF('R&amp;C-Painel de Controle'!$D$24="Não",AO94+AO97+AO100+AO103+AO106+AO109+AO112+AO115,AO94+AO97+AO100+AO103+AO106+AO109+AO112+AO115+'R&amp;C-Painel de Controle'!$L$91)</f>
        <v>48.657081325650239</v>
      </c>
      <c r="AP90" s="306">
        <f>IF('R&amp;C-Painel de Controle'!$D$24="Não",AP94+AP97+AP100+AP103+AP106+AP109+AP112+AP115,AP94+AP97+AP100+AP103+AP106+AP109+AP112+AP115+'R&amp;C-Painel de Controle'!$L$91)</f>
        <v>48.657081325650239</v>
      </c>
      <c r="AQ90" s="306">
        <f>IF('R&amp;C-Painel de Controle'!$D$24="Não",AQ94+AQ97+AQ100+AQ103+AQ106+AQ109+AQ112+AQ115,AQ94+AQ97+AQ100+AQ103+AQ106+AQ109+AQ112+AQ115+'R&amp;C-Painel de Controle'!$L$91)</f>
        <v>48.657081325650239</v>
      </c>
      <c r="AR90" s="306">
        <f>IF('R&amp;C-Painel de Controle'!$D$24="Não",AR94+AR97+AR100+AR103+AR106+AR109+AR112+AR115,AR94+AR97+AR100+AR103+AR106+AR109+AR112+AR115+'R&amp;C-Painel de Controle'!$L$91)</f>
        <v>48.657081325650239</v>
      </c>
      <c r="AS90" s="306">
        <f>IF('R&amp;C-Painel de Controle'!$D$24="Não",AS94+AS97+AS100+AS103+AS106+AS109+AS112+AS115,AS94+AS97+AS100+AS103+AS106+AS109+AS112+AS115+'R&amp;C-Painel de Controle'!$L$91)</f>
        <v>48.657081325650239</v>
      </c>
      <c r="AT90" s="306">
        <f>IF('R&amp;C-Painel de Controle'!$D$24="Não",AT94+AT97+AT100+AT103+AT106+AT109+AT112+AT115,AT94+AT97+AT100+AT103+AT106+AT109+AT112+AT115+'R&amp;C-Painel de Controle'!$L$91)</f>
        <v>48.657081325650239</v>
      </c>
      <c r="AU90" s="306">
        <f>IF('R&amp;C-Painel de Controle'!$D$24="Não",AU94+AU97+AU100+AU103+AU106+AU109+AU112+AU115,AU94+AU97+AU100+AU103+AU106+AU109+AU112+AU115+'R&amp;C-Painel de Controle'!$L$91)</f>
        <v>48.657081325650239</v>
      </c>
      <c r="AV90" s="306">
        <f>IF('R&amp;C-Painel de Controle'!$D$24="Não",AV94+AV97+AV100+AV103+AV106+AV109+AV112+AV115,AV94+AV97+AV100+AV103+AV106+AV109+AV112+AV115+'R&amp;C-Painel de Controle'!$L$91)</f>
        <v>48.657081325650239</v>
      </c>
      <c r="AW90" s="306">
        <f>IF('R&amp;C-Painel de Controle'!$D$24="Não",AW94+AW97+AW100+AW103+AW106+AW109+AW112+AW115,AW94+AW97+AW100+AW103+AW106+AW109+AW112+AW115+'R&amp;C-Painel de Controle'!$L$91)</f>
        <v>48.657081325650239</v>
      </c>
      <c r="AX90" s="306">
        <f>IF('R&amp;C-Painel de Controle'!$D$24="Não",AX94+AX97+AX100+AX103+AX106+AX109+AX112+AX115,AX94+AX97+AX100+AX103+AX106+AX109+AX112+AX115+'R&amp;C-Painel de Controle'!$L$91)</f>
        <v>48.657081325650239</v>
      </c>
      <c r="AY90" s="306">
        <f>IF('R&amp;C-Painel de Controle'!$D$24="Não",AY94+AY97+AY100+AY103+AY106+AY109+AY112+AY115,AY94+AY97+AY100+AY103+AY106+AY109+AY112+AY115+'R&amp;C-Painel de Controle'!$L$91)</f>
        <v>48.657081325650239</v>
      </c>
      <c r="AZ90" s="306">
        <f>IF('R&amp;C-Painel de Controle'!$D$24="Não",AZ94+AZ97+AZ100+AZ103+AZ106+AZ109+AZ112+AZ115,AZ94+AZ97+AZ100+AZ103+AZ106+AZ109+AZ112+AZ115+'R&amp;C-Painel de Controle'!$L$91)</f>
        <v>48.657081325650239</v>
      </c>
      <c r="BA90" s="306">
        <f>IF('R&amp;C-Painel de Controle'!$D$24="Não",BA94+BA97+BA100+BA103+BA106+BA109+BA112+BA115,BA94+BA97+BA100+BA103+BA106+BA109+BA112+BA115+'R&amp;C-Painel de Controle'!$L$91)</f>
        <v>48.657081325650239</v>
      </c>
      <c r="BB90" s="306">
        <f>IF('R&amp;C-Painel de Controle'!$D$24="Não",BB94+BB97+BB100+BB103+BB106+BB109+BB112+BB115,BB94+BB97+BB100+BB103+BB106+BB109+BB112+BB115+'R&amp;C-Painel de Controle'!$L$91)</f>
        <v>48.657081325650239</v>
      </c>
      <c r="BC90" s="306">
        <f>IF('R&amp;C-Painel de Controle'!$D$24="Não",BC94+BC97+BC100+BC103+BC106+BC109+BC112+BC115,BC94+BC97+BC100+BC103+BC106+BC109+BC112+BC115+'R&amp;C-Painel de Controle'!$L$91)</f>
        <v>48.657081325650239</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18308.493589743593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7.7861811252666602</v>
      </c>
      <c r="G97" s="327">
        <f>IF(G42&gt;0,'R&amp;C-Painel de Controle'!$O57+'R&amp;C-Painel de Controle'!$P57*G42/1000000,0)</f>
        <v>7.7861811252666602</v>
      </c>
      <c r="H97" s="327">
        <f>IF(H42&gt;0,'R&amp;C-Painel de Controle'!$O57+'R&amp;C-Painel de Controle'!$P57*H42/1000000,0)</f>
        <v>7.7861811252666602</v>
      </c>
      <c r="I97" s="327">
        <f>IF(I42&gt;0,'R&amp;C-Painel de Controle'!$O57+'R&amp;C-Painel de Controle'!$P57*I42/1000000,0)</f>
        <v>7.7861811252666602</v>
      </c>
      <c r="J97" s="327">
        <f>IF(J42&gt;0,'R&amp;C-Painel de Controle'!$O57+'R&amp;C-Painel de Controle'!$P57*J42/1000000,0)</f>
        <v>7.7861811252666602</v>
      </c>
      <c r="K97" s="327">
        <f>IF(K42&gt;0,'R&amp;C-Painel de Controle'!$O57+'R&amp;C-Painel de Controle'!$P57*K42/1000000,0)</f>
        <v>7.7861811252666602</v>
      </c>
      <c r="L97" s="327">
        <f>IF(L42&gt;0,'R&amp;C-Painel de Controle'!$O57+'R&amp;C-Painel de Controle'!$P57*L42/1000000,0)</f>
        <v>7.7861811252666602</v>
      </c>
      <c r="M97" s="327">
        <f>IF(M42&gt;0,'R&amp;C-Painel de Controle'!$O57+'R&amp;C-Painel de Controle'!$P57*M42/1000000,0)</f>
        <v>7.7861811252666602</v>
      </c>
      <c r="N97" s="327">
        <f>IF(N42&gt;0,'R&amp;C-Painel de Controle'!$O57+'R&amp;C-Painel de Controle'!$P57*N42/1000000,0)</f>
        <v>7.7861811252666602</v>
      </c>
      <c r="O97" s="327">
        <f>IF(O42&gt;0,'R&amp;C-Painel de Controle'!$O57+'R&amp;C-Painel de Controle'!$P57*O42/1000000,0)</f>
        <v>7.7861811252666602</v>
      </c>
      <c r="P97" s="327">
        <f>IF(P42&gt;0,'R&amp;C-Painel de Controle'!$O57+'R&amp;C-Painel de Controle'!$P57*P42/1000000,0)</f>
        <v>7.7861811252666602</v>
      </c>
      <c r="Q97" s="327">
        <f>IF(Q42&gt;0,'R&amp;C-Painel de Controle'!$O57+'R&amp;C-Painel de Controle'!$P57*Q42/1000000,0)</f>
        <v>7.7861811252666602</v>
      </c>
      <c r="R97" s="305">
        <f t="shared" ref="R97:BC97" si="42">Q97</f>
        <v>7.7861811252666602</v>
      </c>
      <c r="S97" s="305">
        <f t="shared" si="42"/>
        <v>7.7861811252666602</v>
      </c>
      <c r="T97" s="305">
        <f t="shared" si="42"/>
        <v>7.7861811252666602</v>
      </c>
      <c r="U97" s="305">
        <f t="shared" si="42"/>
        <v>7.7861811252666602</v>
      </c>
      <c r="V97" s="305">
        <f t="shared" si="42"/>
        <v>7.7861811252666602</v>
      </c>
      <c r="W97" s="305">
        <f t="shared" si="42"/>
        <v>7.7861811252666602</v>
      </c>
      <c r="X97" s="305">
        <f t="shared" si="42"/>
        <v>7.7861811252666602</v>
      </c>
      <c r="Y97" s="305">
        <f t="shared" si="42"/>
        <v>7.7861811252666602</v>
      </c>
      <c r="Z97" s="305">
        <f t="shared" si="42"/>
        <v>7.7861811252666602</v>
      </c>
      <c r="AA97" s="305">
        <f t="shared" si="42"/>
        <v>7.7861811252666602</v>
      </c>
      <c r="AB97" s="305">
        <f t="shared" si="42"/>
        <v>7.7861811252666602</v>
      </c>
      <c r="AC97" s="305">
        <f t="shared" si="42"/>
        <v>7.7861811252666602</v>
      </c>
      <c r="AD97" s="305">
        <f t="shared" si="42"/>
        <v>7.7861811252666602</v>
      </c>
      <c r="AE97" s="305">
        <f t="shared" si="42"/>
        <v>7.7861811252666602</v>
      </c>
      <c r="AF97" s="305">
        <f t="shared" si="42"/>
        <v>7.7861811252666602</v>
      </c>
      <c r="AG97" s="305">
        <f t="shared" si="42"/>
        <v>7.7861811252666602</v>
      </c>
      <c r="AH97" s="305">
        <f t="shared" si="42"/>
        <v>7.7861811252666602</v>
      </c>
      <c r="AI97" s="305">
        <f t="shared" si="42"/>
        <v>7.7861811252666602</v>
      </c>
      <c r="AJ97" s="305">
        <f t="shared" si="42"/>
        <v>7.7861811252666602</v>
      </c>
      <c r="AK97" s="305">
        <f t="shared" si="42"/>
        <v>7.7861811252666602</v>
      </c>
      <c r="AL97" s="305">
        <f t="shared" si="42"/>
        <v>7.7861811252666602</v>
      </c>
      <c r="AM97" s="305">
        <f t="shared" si="42"/>
        <v>7.7861811252666602</v>
      </c>
      <c r="AN97" s="305">
        <f t="shared" si="42"/>
        <v>7.7861811252666602</v>
      </c>
      <c r="AO97" s="305">
        <f t="shared" si="42"/>
        <v>7.7861811252666602</v>
      </c>
      <c r="AP97" s="305">
        <f t="shared" si="42"/>
        <v>7.7861811252666602</v>
      </c>
      <c r="AQ97" s="305">
        <f t="shared" si="42"/>
        <v>7.7861811252666602</v>
      </c>
      <c r="AR97" s="305">
        <f t="shared" si="42"/>
        <v>7.7861811252666602</v>
      </c>
      <c r="AS97" s="305">
        <f t="shared" si="42"/>
        <v>7.7861811252666602</v>
      </c>
      <c r="AT97" s="305">
        <f t="shared" si="42"/>
        <v>7.7861811252666602</v>
      </c>
      <c r="AU97" s="305">
        <f t="shared" si="42"/>
        <v>7.7861811252666602</v>
      </c>
      <c r="AV97" s="305">
        <f t="shared" si="42"/>
        <v>7.7861811252666602</v>
      </c>
      <c r="AW97" s="305">
        <f t="shared" si="42"/>
        <v>7.7861811252666602</v>
      </c>
      <c r="AX97" s="305">
        <f t="shared" si="42"/>
        <v>7.7861811252666602</v>
      </c>
      <c r="AY97" s="305">
        <f t="shared" si="42"/>
        <v>7.7861811252666602</v>
      </c>
      <c r="AZ97" s="305">
        <f t="shared" si="42"/>
        <v>7.7861811252666602</v>
      </c>
      <c r="BA97" s="305">
        <f t="shared" si="42"/>
        <v>7.7861811252666602</v>
      </c>
      <c r="BB97" s="305">
        <f t="shared" si="42"/>
        <v>7.7861811252666602</v>
      </c>
      <c r="BC97" s="305">
        <f t="shared" si="42"/>
        <v>7.7861811252666602</v>
      </c>
      <c r="BD97" s="305"/>
      <c r="BE97" s="305"/>
      <c r="BF97" s="305"/>
    </row>
    <row r="98" spans="2:58" s="206" customFormat="1" ht="18" hidden="1" customHeight="1" outlineLevel="1" x14ac:dyDescent="0.25">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25">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25">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25">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25">
      <c r="B110" s="906" t="str">
        <f>B83</f>
        <v>Incineração</v>
      </c>
      <c r="C110" s="325" t="str">
        <f>C55</f>
        <v>Sim</v>
      </c>
      <c r="D110" s="325">
        <f>D55</f>
        <v>145007.84635416669</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35.26531135702642</v>
      </c>
      <c r="G112" s="327">
        <f>IF(G57&gt;0,'R&amp;C-Painel de Controle'!$O72+'R&amp;C-Painel de Controle'!$P72*G57/1000000,0)</f>
        <v>35.26531135702642</v>
      </c>
      <c r="H112" s="327">
        <f>IF(H57&gt;0,'R&amp;C-Painel de Controle'!$O72+'R&amp;C-Painel de Controle'!$P72*H57/1000000,0)</f>
        <v>35.26531135702642</v>
      </c>
      <c r="I112" s="327">
        <f>IF(I57&gt;0,'R&amp;C-Painel de Controle'!$O72+'R&amp;C-Painel de Controle'!$P72*I57/1000000,0)</f>
        <v>35.26531135702642</v>
      </c>
      <c r="J112" s="327">
        <f>IF(J57&gt;0,'R&amp;C-Painel de Controle'!$O72+'R&amp;C-Painel de Controle'!$P72*J57/1000000,0)</f>
        <v>35.26531135702642</v>
      </c>
      <c r="K112" s="327">
        <f>IF(K57&gt;0,'R&amp;C-Painel de Controle'!$O72+'R&amp;C-Painel de Controle'!$P72*K57/1000000,0)</f>
        <v>35.26531135702642</v>
      </c>
      <c r="L112" s="327">
        <f>IF(L57&gt;0,'R&amp;C-Painel de Controle'!$O72+'R&amp;C-Painel de Controle'!$P72*L57/1000000,0)</f>
        <v>35.26531135702642</v>
      </c>
      <c r="M112" s="327">
        <f>IF(M57&gt;0,'R&amp;C-Painel de Controle'!$O72+'R&amp;C-Painel de Controle'!$P72*M57/1000000,0)</f>
        <v>35.26531135702642</v>
      </c>
      <c r="N112" s="327">
        <f>IF(N57&gt;0,'R&amp;C-Painel de Controle'!$O72+'R&amp;C-Painel de Controle'!$P72*N57/1000000,0)</f>
        <v>35.26531135702642</v>
      </c>
      <c r="O112" s="327">
        <f>IF(O57&gt;0,'R&amp;C-Painel de Controle'!$O72+'R&amp;C-Painel de Controle'!$P72*O57/1000000,0)</f>
        <v>35.26531135702642</v>
      </c>
      <c r="P112" s="327">
        <f>IF(P57&gt;0,'R&amp;C-Painel de Controle'!$O72+'R&amp;C-Painel de Controle'!$P72*P57/1000000,0)</f>
        <v>35.26531135702642</v>
      </c>
      <c r="Q112" s="327">
        <f>IF(Q57&gt;0,'R&amp;C-Painel de Controle'!$O72+'R&amp;C-Painel de Controle'!$P72*Q57/1000000,0)</f>
        <v>35.26531135702642</v>
      </c>
      <c r="R112" s="305">
        <f t="shared" ref="R112:BC112" si="47">Q112</f>
        <v>35.26531135702642</v>
      </c>
      <c r="S112" s="305">
        <f t="shared" si="47"/>
        <v>35.26531135702642</v>
      </c>
      <c r="T112" s="305">
        <f t="shared" si="47"/>
        <v>35.26531135702642</v>
      </c>
      <c r="U112" s="305">
        <f t="shared" si="47"/>
        <v>35.26531135702642</v>
      </c>
      <c r="V112" s="305">
        <f t="shared" si="47"/>
        <v>35.26531135702642</v>
      </c>
      <c r="W112" s="305">
        <f t="shared" si="47"/>
        <v>35.26531135702642</v>
      </c>
      <c r="X112" s="305">
        <f t="shared" si="47"/>
        <v>35.26531135702642</v>
      </c>
      <c r="Y112" s="305">
        <f t="shared" si="47"/>
        <v>35.26531135702642</v>
      </c>
      <c r="Z112" s="305">
        <f t="shared" si="47"/>
        <v>35.26531135702642</v>
      </c>
      <c r="AA112" s="305">
        <f t="shared" si="47"/>
        <v>35.26531135702642</v>
      </c>
      <c r="AB112" s="305">
        <f t="shared" si="47"/>
        <v>35.26531135702642</v>
      </c>
      <c r="AC112" s="305">
        <f t="shared" si="47"/>
        <v>35.26531135702642</v>
      </c>
      <c r="AD112" s="305">
        <f t="shared" si="47"/>
        <v>35.26531135702642</v>
      </c>
      <c r="AE112" s="305">
        <f t="shared" si="47"/>
        <v>35.26531135702642</v>
      </c>
      <c r="AF112" s="305">
        <f t="shared" si="47"/>
        <v>35.26531135702642</v>
      </c>
      <c r="AG112" s="305">
        <f t="shared" si="47"/>
        <v>35.26531135702642</v>
      </c>
      <c r="AH112" s="305">
        <f t="shared" si="47"/>
        <v>35.26531135702642</v>
      </c>
      <c r="AI112" s="305">
        <f t="shared" si="47"/>
        <v>35.26531135702642</v>
      </c>
      <c r="AJ112" s="305">
        <f t="shared" si="47"/>
        <v>35.26531135702642</v>
      </c>
      <c r="AK112" s="305">
        <f t="shared" si="47"/>
        <v>35.26531135702642</v>
      </c>
      <c r="AL112" s="305">
        <f t="shared" si="47"/>
        <v>35.26531135702642</v>
      </c>
      <c r="AM112" s="305">
        <f t="shared" si="47"/>
        <v>35.26531135702642</v>
      </c>
      <c r="AN112" s="305">
        <f t="shared" si="47"/>
        <v>35.26531135702642</v>
      </c>
      <c r="AO112" s="305">
        <f t="shared" si="47"/>
        <v>35.26531135702642</v>
      </c>
      <c r="AP112" s="305">
        <f t="shared" si="47"/>
        <v>35.26531135702642</v>
      </c>
      <c r="AQ112" s="305">
        <f t="shared" si="47"/>
        <v>35.26531135702642</v>
      </c>
      <c r="AR112" s="305">
        <f t="shared" si="47"/>
        <v>35.26531135702642</v>
      </c>
      <c r="AS112" s="305">
        <f t="shared" si="47"/>
        <v>35.26531135702642</v>
      </c>
      <c r="AT112" s="305">
        <f t="shared" si="47"/>
        <v>35.26531135702642</v>
      </c>
      <c r="AU112" s="305">
        <f t="shared" si="47"/>
        <v>35.26531135702642</v>
      </c>
      <c r="AV112" s="305">
        <f t="shared" si="47"/>
        <v>35.26531135702642</v>
      </c>
      <c r="AW112" s="305">
        <f t="shared" si="47"/>
        <v>35.26531135702642</v>
      </c>
      <c r="AX112" s="305">
        <f t="shared" si="47"/>
        <v>35.26531135702642</v>
      </c>
      <c r="AY112" s="305">
        <f t="shared" si="47"/>
        <v>35.26531135702642</v>
      </c>
      <c r="AZ112" s="305">
        <f t="shared" si="47"/>
        <v>35.26531135702642</v>
      </c>
      <c r="BA112" s="305">
        <f t="shared" si="47"/>
        <v>35.26531135702642</v>
      </c>
      <c r="BB112" s="305">
        <f t="shared" si="47"/>
        <v>35.26531135702642</v>
      </c>
      <c r="BC112" s="305">
        <f t="shared" si="47"/>
        <v>35.26531135702642</v>
      </c>
      <c r="BD112" s="305"/>
      <c r="BE112" s="305"/>
      <c r="BF112" s="305"/>
    </row>
    <row r="113" spans="1:58" s="206" customFormat="1" ht="18" hidden="1" customHeight="1" outlineLevel="1" x14ac:dyDescent="0.25">
      <c r="B113" s="906" t="str">
        <f>B86</f>
        <v>Aterro Sanitário</v>
      </c>
      <c r="C113" s="325" t="str">
        <f>C58</f>
        <v>Sim</v>
      </c>
      <c r="D113" s="325">
        <f>D58</f>
        <v>47781.569270833337</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5.6055888433571583</v>
      </c>
      <c r="G115" s="327">
        <f>IF(G60&gt;0,'R&amp;C-Painel de Controle'!$O75+'R&amp;C-Painel de Controle'!$P75*G60/1000000,0)</f>
        <v>5.6055888433571583</v>
      </c>
      <c r="H115" s="327">
        <f>IF(H60&gt;0,'R&amp;C-Painel de Controle'!$O75+'R&amp;C-Painel de Controle'!$P75*H60/1000000,0)</f>
        <v>5.6055888433571583</v>
      </c>
      <c r="I115" s="327">
        <f>IF(I60&gt;0,'R&amp;C-Painel de Controle'!$O75+'R&amp;C-Painel de Controle'!$P75*I60/1000000,0)</f>
        <v>5.6055888433571583</v>
      </c>
      <c r="J115" s="327">
        <f>IF(J60&gt;0,'R&amp;C-Painel de Controle'!$O75+'R&amp;C-Painel de Controle'!$P75*J60/1000000,0)</f>
        <v>5.6055888433571583</v>
      </c>
      <c r="K115" s="327">
        <f>IF(K60&gt;0,'R&amp;C-Painel de Controle'!$O75+'R&amp;C-Painel de Controle'!$P75*K60/1000000,0)</f>
        <v>5.6055888433571583</v>
      </c>
      <c r="L115" s="327">
        <f>IF(L60&gt;0,'R&amp;C-Painel de Controle'!$O75+'R&amp;C-Painel de Controle'!$P75*L60/1000000,0)</f>
        <v>5.6055888433571583</v>
      </c>
      <c r="M115" s="327">
        <f>IF(M60&gt;0,'R&amp;C-Painel de Controle'!$O75+'R&amp;C-Painel de Controle'!$P75*M60/1000000,0)</f>
        <v>5.6055888433571583</v>
      </c>
      <c r="N115" s="327">
        <f>IF(N60&gt;0,'R&amp;C-Painel de Controle'!$O75+'R&amp;C-Painel de Controle'!$P75*N60/1000000,0)</f>
        <v>5.6055888433571583</v>
      </c>
      <c r="O115" s="327">
        <f>IF(O60&gt;0,'R&amp;C-Painel de Controle'!$O75+'R&amp;C-Painel de Controle'!$P75*O60/1000000,0)</f>
        <v>5.6055888433571583</v>
      </c>
      <c r="P115" s="327">
        <f>IF(P60&gt;0,'R&amp;C-Painel de Controle'!$O75+'R&amp;C-Painel de Controle'!$P75*P60/1000000,0)</f>
        <v>5.6055888433571583</v>
      </c>
      <c r="Q115" s="327">
        <f>IF(Q60&gt;0,'R&amp;C-Painel de Controle'!$O75+'R&amp;C-Painel de Controle'!$P75*Q60/1000000,0)</f>
        <v>5.6055888433571583</v>
      </c>
      <c r="R115" s="305">
        <f t="shared" ref="R115:BC115" si="48">Q115</f>
        <v>5.6055888433571583</v>
      </c>
      <c r="S115" s="305">
        <f t="shared" si="48"/>
        <v>5.6055888433571583</v>
      </c>
      <c r="T115" s="305">
        <f t="shared" si="48"/>
        <v>5.6055888433571583</v>
      </c>
      <c r="U115" s="305">
        <f t="shared" si="48"/>
        <v>5.6055888433571583</v>
      </c>
      <c r="V115" s="305">
        <f t="shared" si="48"/>
        <v>5.6055888433571583</v>
      </c>
      <c r="W115" s="305">
        <f t="shared" si="48"/>
        <v>5.6055888433571583</v>
      </c>
      <c r="X115" s="305">
        <f t="shared" si="48"/>
        <v>5.6055888433571583</v>
      </c>
      <c r="Y115" s="305">
        <f t="shared" si="48"/>
        <v>5.6055888433571583</v>
      </c>
      <c r="Z115" s="305">
        <f t="shared" si="48"/>
        <v>5.6055888433571583</v>
      </c>
      <c r="AA115" s="305">
        <f t="shared" si="48"/>
        <v>5.6055888433571583</v>
      </c>
      <c r="AB115" s="305">
        <f t="shared" si="48"/>
        <v>5.6055888433571583</v>
      </c>
      <c r="AC115" s="305">
        <f t="shared" si="48"/>
        <v>5.6055888433571583</v>
      </c>
      <c r="AD115" s="305">
        <f t="shared" si="48"/>
        <v>5.6055888433571583</v>
      </c>
      <c r="AE115" s="305">
        <f t="shared" si="48"/>
        <v>5.6055888433571583</v>
      </c>
      <c r="AF115" s="305">
        <f t="shared" si="48"/>
        <v>5.6055888433571583</v>
      </c>
      <c r="AG115" s="305">
        <f t="shared" si="48"/>
        <v>5.6055888433571583</v>
      </c>
      <c r="AH115" s="305">
        <f t="shared" si="48"/>
        <v>5.6055888433571583</v>
      </c>
      <c r="AI115" s="305">
        <f t="shared" si="48"/>
        <v>5.6055888433571583</v>
      </c>
      <c r="AJ115" s="305">
        <f t="shared" si="48"/>
        <v>5.6055888433571583</v>
      </c>
      <c r="AK115" s="305">
        <f t="shared" si="48"/>
        <v>5.6055888433571583</v>
      </c>
      <c r="AL115" s="305">
        <f t="shared" si="48"/>
        <v>5.6055888433571583</v>
      </c>
      <c r="AM115" s="305">
        <f t="shared" si="48"/>
        <v>5.6055888433571583</v>
      </c>
      <c r="AN115" s="305">
        <f t="shared" si="48"/>
        <v>5.6055888433571583</v>
      </c>
      <c r="AO115" s="305">
        <f t="shared" si="48"/>
        <v>5.6055888433571583</v>
      </c>
      <c r="AP115" s="305">
        <f t="shared" si="48"/>
        <v>5.6055888433571583</v>
      </c>
      <c r="AQ115" s="305">
        <f t="shared" si="48"/>
        <v>5.6055888433571583</v>
      </c>
      <c r="AR115" s="305">
        <f t="shared" si="48"/>
        <v>5.6055888433571583</v>
      </c>
      <c r="AS115" s="305">
        <f t="shared" si="48"/>
        <v>5.6055888433571583</v>
      </c>
      <c r="AT115" s="305">
        <f t="shared" si="48"/>
        <v>5.6055888433571583</v>
      </c>
      <c r="AU115" s="305">
        <f t="shared" si="48"/>
        <v>5.6055888433571583</v>
      </c>
      <c r="AV115" s="305">
        <f t="shared" si="48"/>
        <v>5.6055888433571583</v>
      </c>
      <c r="AW115" s="305">
        <f t="shared" si="48"/>
        <v>5.6055888433571583</v>
      </c>
      <c r="AX115" s="305">
        <f t="shared" si="48"/>
        <v>5.6055888433571583</v>
      </c>
      <c r="AY115" s="305">
        <f t="shared" si="48"/>
        <v>5.6055888433571583</v>
      </c>
      <c r="AZ115" s="305">
        <f t="shared" si="48"/>
        <v>5.6055888433571583</v>
      </c>
      <c r="BA115" s="305">
        <f t="shared" si="48"/>
        <v>5.6055888433571583</v>
      </c>
      <c r="BB115" s="305">
        <f t="shared" si="48"/>
        <v>5.6055888433571583</v>
      </c>
      <c r="BC115" s="305">
        <f t="shared" si="48"/>
        <v>5.6055888433571583</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1.4454456250000003</v>
      </c>
      <c r="D117" s="306">
        <f>IF('R-Definição'!$E$121="Existente",D90+((('R&amp;C-Painel de Controle'!$D$88+'R&amp;C-Painel de Controle'!$D$89)*('R&amp;C-Painel de Controle'!$D$44+'R&amp;C-Painel de Controle'!$D$46))/1000000),D90+((('R&amp;C-Painel de Controle'!$D$88)*('R&amp;C-Painel de Controle'!$D$44+'R&amp;C-Painel de Controle'!$D$46))/1000000))</f>
        <v>1.4454456250000003</v>
      </c>
      <c r="E117" s="306">
        <f>IF('R-Definição'!$E$121="Existente",E90+((('R&amp;C-Painel de Controle'!$D$88+'R&amp;C-Painel de Controle'!$D$89)*('R&amp;C-Painel de Controle'!$D$44+'R&amp;C-Painel de Controle'!$D$46))/1000000),E90+((('R&amp;C-Painel de Controle'!$D$88)*('R&amp;C-Painel de Controle'!$D$44+'R&amp;C-Painel de Controle'!$D$46))/1000000))</f>
        <v>1.4454456250000003</v>
      </c>
      <c r="F117" s="306">
        <f>IF('R-Definição'!$E$121="Existente",F90+((('R&amp;C-Painel de Controle'!$D$88+'R&amp;C-Painel de Controle'!$D$89)*('R&amp;C-Painel de Controle'!$D$44+'R&amp;C-Painel de Controle'!$D$46))/1000000),F90+((('R&amp;C-Painel de Controle'!$D$88)*('R&amp;C-Painel de Controle'!$D$44+'R&amp;C-Painel de Controle'!$D$46))/1000000))</f>
        <v>50.102526950650237</v>
      </c>
      <c r="G117" s="306">
        <f>IF('R-Definição'!$E$121="Existente",G90+((('R&amp;C-Painel de Controle'!$D$88+'R&amp;C-Painel de Controle'!$D$89)*('R&amp;C-Painel de Controle'!$D$44+'R&amp;C-Painel de Controle'!$D$46))/1000000),G90+((('R&amp;C-Painel de Controle'!$D$88)*('R&amp;C-Painel de Controle'!$D$44+'R&amp;C-Painel de Controle'!$D$46))/1000000))</f>
        <v>50.102526950650237</v>
      </c>
      <c r="H117" s="306">
        <f>IF('R-Definição'!$E$121="Existente",H90+((('R&amp;C-Painel de Controle'!$D$88+'R&amp;C-Painel de Controle'!$D$89)*('R&amp;C-Painel de Controle'!$D$44+'R&amp;C-Painel de Controle'!$D$46))/1000000),H90+((('R&amp;C-Painel de Controle'!$D$88)*('R&amp;C-Painel de Controle'!$D$44+'R&amp;C-Painel de Controle'!$D$46))/1000000))</f>
        <v>50.102526950650237</v>
      </c>
      <c r="I117" s="306">
        <f>IF('R-Definição'!$E$121="Existente",I90+((('R&amp;C-Painel de Controle'!$D$88+'R&amp;C-Painel de Controle'!$D$89)*('R&amp;C-Painel de Controle'!$D$44+'R&amp;C-Painel de Controle'!$D$46))/1000000),I90+((('R&amp;C-Painel de Controle'!$D$88)*('R&amp;C-Painel de Controle'!$D$44+'R&amp;C-Painel de Controle'!$D$46))/1000000))</f>
        <v>50.102526950650237</v>
      </c>
      <c r="J117" s="306">
        <f>IF('R-Definição'!$E$121="Existente",J90+((('R&amp;C-Painel de Controle'!$D$88+'R&amp;C-Painel de Controle'!$D$89)*('R&amp;C-Painel de Controle'!$D$44+'R&amp;C-Painel de Controle'!$D$46))/1000000),J90+((('R&amp;C-Painel de Controle'!$D$88)*('R&amp;C-Painel de Controle'!$D$44+'R&amp;C-Painel de Controle'!$D$46))/1000000))</f>
        <v>50.102526950650237</v>
      </c>
      <c r="K117" s="306">
        <f>IF('R-Definição'!$E$121="Existente",K90+((('R&amp;C-Painel de Controle'!$D$88+'R&amp;C-Painel de Controle'!$D$89)*('R&amp;C-Painel de Controle'!$D$44+'R&amp;C-Painel de Controle'!$D$46))/1000000),K90+((('R&amp;C-Painel de Controle'!$D$88)*('R&amp;C-Painel de Controle'!$D$44+'R&amp;C-Painel de Controle'!$D$46))/1000000))</f>
        <v>50.102526950650237</v>
      </c>
      <c r="L117" s="306">
        <f>IF('R-Definição'!$E$121="Existente",L90+((('R&amp;C-Painel de Controle'!$D$88+'R&amp;C-Painel de Controle'!$D$89)*('R&amp;C-Painel de Controle'!$D$44+'R&amp;C-Painel de Controle'!$D$46))/1000000),L90+((('R&amp;C-Painel de Controle'!$D$88)*('R&amp;C-Painel de Controle'!$D$44+'R&amp;C-Painel de Controle'!$D$46))/1000000))</f>
        <v>50.102526950650237</v>
      </c>
      <c r="M117" s="306">
        <f>IF('R-Definição'!$E$121="Existente",M90+((('R&amp;C-Painel de Controle'!$D$88+'R&amp;C-Painel de Controle'!$D$89)*('R&amp;C-Painel de Controle'!$D$44+'R&amp;C-Painel de Controle'!$D$46))/1000000),M90+((('R&amp;C-Painel de Controle'!$D$88)*('R&amp;C-Painel de Controle'!$D$44+'R&amp;C-Painel de Controle'!$D$46))/1000000))</f>
        <v>50.102526950650237</v>
      </c>
      <c r="N117" s="306">
        <f>IF('R-Definição'!$E$121="Existente",N90+((('R&amp;C-Painel de Controle'!$D$88+'R&amp;C-Painel de Controle'!$D$89)*('R&amp;C-Painel de Controle'!$D$44+'R&amp;C-Painel de Controle'!$D$46))/1000000),N90+((('R&amp;C-Painel de Controle'!$D$88)*('R&amp;C-Painel de Controle'!$D$44+'R&amp;C-Painel de Controle'!$D$46))/1000000))</f>
        <v>50.102526950650237</v>
      </c>
      <c r="O117" s="306">
        <f>IF('R-Definição'!$E$121="Existente",O90+((('R&amp;C-Painel de Controle'!$D$88+'R&amp;C-Painel de Controle'!$D$89)*('R&amp;C-Painel de Controle'!$D$44+'R&amp;C-Painel de Controle'!$D$46))/1000000),O90+((('R&amp;C-Painel de Controle'!$D$88)*('R&amp;C-Painel de Controle'!$D$44+'R&amp;C-Painel de Controle'!$D$46))/1000000))</f>
        <v>50.102526950650237</v>
      </c>
      <c r="P117" s="306">
        <f>IF('R-Definição'!$E$121="Existente",P90+((('R&amp;C-Painel de Controle'!$D$88+'R&amp;C-Painel de Controle'!$D$89)*('R&amp;C-Painel de Controle'!$D$44+'R&amp;C-Painel de Controle'!$D$46))/1000000),P90+((('R&amp;C-Painel de Controle'!$D$88)*('R&amp;C-Painel de Controle'!$D$44+'R&amp;C-Painel de Controle'!$D$46))/1000000))</f>
        <v>50.102526950650237</v>
      </c>
      <c r="Q117" s="306">
        <f>IF('R-Definição'!$E$121="Existente",Q90+((('R&amp;C-Painel de Controle'!$D$88+'R&amp;C-Painel de Controle'!$D$89)*('R&amp;C-Painel de Controle'!$D$44+'R&amp;C-Painel de Controle'!$D$46))/1000000),Q90+((('R&amp;C-Painel de Controle'!$D$88)*('R&amp;C-Painel de Controle'!$D$44+'R&amp;C-Painel de Controle'!$D$46))/1000000))</f>
        <v>50.102526950650237</v>
      </c>
      <c r="R117" s="306">
        <f>IF('R-Definição'!$E$121="Existente",R90+((('R&amp;C-Painel de Controle'!$D$88+'R&amp;C-Painel de Controle'!$D$89)*('R&amp;C-Painel de Controle'!$D$44+'R&amp;C-Painel de Controle'!$D$46))/1000000),R90+((('R&amp;C-Painel de Controle'!$D$88)*('R&amp;C-Painel de Controle'!$D$44+'R&amp;C-Painel de Controle'!$D$46))/1000000))</f>
        <v>50.102526950650237</v>
      </c>
      <c r="S117" s="306">
        <f>IF('R-Definição'!$E$121="Existente",S90+((('R&amp;C-Painel de Controle'!$D$88+'R&amp;C-Painel de Controle'!$D$89)*('R&amp;C-Painel de Controle'!$D$44+'R&amp;C-Painel de Controle'!$D$46))/1000000),S90+((('R&amp;C-Painel de Controle'!$D$88)*('R&amp;C-Painel de Controle'!$D$44+'R&amp;C-Painel de Controle'!$D$46))/1000000))</f>
        <v>50.102526950650237</v>
      </c>
      <c r="T117" s="306">
        <f>IF('R-Definição'!$E$121="Existente",T90+((('R&amp;C-Painel de Controle'!$D$88+'R&amp;C-Painel de Controle'!$D$89)*('R&amp;C-Painel de Controle'!$D$44+'R&amp;C-Painel de Controle'!$D$46))/1000000),T90+((('R&amp;C-Painel de Controle'!$D$88)*('R&amp;C-Painel de Controle'!$D$44+'R&amp;C-Painel de Controle'!$D$46))/1000000))</f>
        <v>50.102526950650237</v>
      </c>
      <c r="U117" s="306">
        <f>IF('R-Definição'!$E$121="Existente",U90+((('R&amp;C-Painel de Controle'!$D$88+'R&amp;C-Painel de Controle'!$D$89)*('R&amp;C-Painel de Controle'!$D$44+'R&amp;C-Painel de Controle'!$D$46))/1000000),U90+((('R&amp;C-Painel de Controle'!$D$88)*('R&amp;C-Painel de Controle'!$D$44+'R&amp;C-Painel de Controle'!$D$46))/1000000))</f>
        <v>50.102526950650237</v>
      </c>
      <c r="V117" s="306">
        <f>IF('R-Definição'!$E$121="Existente",V90+((('R&amp;C-Painel de Controle'!$D$88+'R&amp;C-Painel de Controle'!$D$89)*('R&amp;C-Painel de Controle'!$D$44+'R&amp;C-Painel de Controle'!$D$46))/1000000),V90+((('R&amp;C-Painel de Controle'!$D$88)*('R&amp;C-Painel de Controle'!$D$44+'R&amp;C-Painel de Controle'!$D$46))/1000000))</f>
        <v>50.102526950650237</v>
      </c>
      <c r="W117" s="306">
        <f>IF('R-Definição'!$E$121="Existente",W90+((('R&amp;C-Painel de Controle'!$D$88+'R&amp;C-Painel de Controle'!$D$89)*('R&amp;C-Painel de Controle'!$D$44+'R&amp;C-Painel de Controle'!$D$46))/1000000),W90+((('R&amp;C-Painel de Controle'!$D$88)*('R&amp;C-Painel de Controle'!$D$44+'R&amp;C-Painel de Controle'!$D$46))/1000000))</f>
        <v>50.102526950650237</v>
      </c>
      <c r="X117" s="306">
        <f>IF('R-Definição'!$E$121="Existente",X90+((('R&amp;C-Painel de Controle'!$D$88+'R&amp;C-Painel de Controle'!$D$89)*('R&amp;C-Painel de Controle'!$D$44+'R&amp;C-Painel de Controle'!$D$46))/1000000),X90+((('R&amp;C-Painel de Controle'!$D$88)*('R&amp;C-Painel de Controle'!$D$44+'R&amp;C-Painel de Controle'!$D$46))/1000000))</f>
        <v>50.102526950650237</v>
      </c>
      <c r="Y117" s="306">
        <f>IF('R-Definição'!$E$121="Existente",Y90+((('R&amp;C-Painel de Controle'!$D$88+'R&amp;C-Painel de Controle'!$D$89)*('R&amp;C-Painel de Controle'!$D$44+'R&amp;C-Painel de Controle'!$D$46))/1000000),Y90+((('R&amp;C-Painel de Controle'!$D$88)*('R&amp;C-Painel de Controle'!$D$44+'R&amp;C-Painel de Controle'!$D$46))/1000000))</f>
        <v>50.102526950650237</v>
      </c>
      <c r="Z117" s="306">
        <f>IF('R-Definição'!$E$121="Existente",Z90+((('R&amp;C-Painel de Controle'!$D$88+'R&amp;C-Painel de Controle'!$D$89)*('R&amp;C-Painel de Controle'!$D$44+'R&amp;C-Painel de Controle'!$D$46))/1000000),Z90+((('R&amp;C-Painel de Controle'!$D$88)*('R&amp;C-Painel de Controle'!$D$44+'R&amp;C-Painel de Controle'!$D$46))/1000000))</f>
        <v>50.102526950650237</v>
      </c>
      <c r="AA117" s="306">
        <f>IF('R-Definição'!$E$121="Existente",AA90+((('R&amp;C-Painel de Controle'!$D$88+'R&amp;C-Painel de Controle'!$D$89)*('R&amp;C-Painel de Controle'!$D$44+'R&amp;C-Painel de Controle'!$D$46))/1000000),AA90+((('R&amp;C-Painel de Controle'!$D$88)*('R&amp;C-Painel de Controle'!$D$44+'R&amp;C-Painel de Controle'!$D$46))/1000000))</f>
        <v>50.102526950650237</v>
      </c>
      <c r="AB117" s="306">
        <f>IF('R-Definição'!$E$121="Existente",AB90+((('R&amp;C-Painel de Controle'!$D$88+'R&amp;C-Painel de Controle'!$D$89)*('R&amp;C-Painel de Controle'!$D$44+'R&amp;C-Painel de Controle'!$D$46))/1000000),AB90+((('R&amp;C-Painel de Controle'!$D$88)*('R&amp;C-Painel de Controle'!$D$44+'R&amp;C-Painel de Controle'!$D$46))/1000000))</f>
        <v>50.102526950650237</v>
      </c>
      <c r="AC117" s="306">
        <f>IF('R-Definição'!$E$121="Existente",AC90+((('R&amp;C-Painel de Controle'!$D$88+'R&amp;C-Painel de Controle'!$D$89)*('R&amp;C-Painel de Controle'!$D$44+'R&amp;C-Painel de Controle'!$D$46))/1000000),AC90+((('R&amp;C-Painel de Controle'!$D$88)*('R&amp;C-Painel de Controle'!$D$44+'R&amp;C-Painel de Controle'!$D$46))/1000000))</f>
        <v>50.102526950650237</v>
      </c>
      <c r="AD117" s="306">
        <f>IF('R-Definição'!$E$121="Existente",AD90+((('R&amp;C-Painel de Controle'!$D$88+'R&amp;C-Painel de Controle'!$D$89)*('R&amp;C-Painel de Controle'!$D$44+'R&amp;C-Painel de Controle'!$D$46))/1000000),AD90+((('R&amp;C-Painel de Controle'!$D$88)*('R&amp;C-Painel de Controle'!$D$44+'R&amp;C-Painel de Controle'!$D$46))/1000000))</f>
        <v>50.102526950650237</v>
      </c>
      <c r="AE117" s="306">
        <f>IF('R-Definição'!$E$121="Existente",AE90+((('R&amp;C-Painel de Controle'!$D$88+'R&amp;C-Painel de Controle'!$D$89)*('R&amp;C-Painel de Controle'!$D$44+'R&amp;C-Painel de Controle'!$D$46))/1000000),AE90+((('R&amp;C-Painel de Controle'!$D$88)*('R&amp;C-Painel de Controle'!$D$44+'R&amp;C-Painel de Controle'!$D$46))/1000000))</f>
        <v>50.102526950650237</v>
      </c>
      <c r="AF117" s="306">
        <f>IF('R-Definição'!$E$121="Existente",AF90+((('R&amp;C-Painel de Controle'!$D$88+'R&amp;C-Painel de Controle'!$D$89)*('R&amp;C-Painel de Controle'!$D$44+'R&amp;C-Painel de Controle'!$D$46))/1000000),AF90+((('R&amp;C-Painel de Controle'!$D$88)*('R&amp;C-Painel de Controle'!$D$44+'R&amp;C-Painel de Controle'!$D$46))/1000000))</f>
        <v>50.102526950650237</v>
      </c>
      <c r="AG117" s="306">
        <f>IF('R-Definição'!$E$121="Existente",AG90+((('R&amp;C-Painel de Controle'!$D$88+'R&amp;C-Painel de Controle'!$D$89)*('R&amp;C-Painel de Controle'!$D$44+'R&amp;C-Painel de Controle'!$D$46))/1000000),AG90+((('R&amp;C-Painel de Controle'!$D$88)*('R&amp;C-Painel de Controle'!$D$44+'R&amp;C-Painel de Controle'!$D$46))/1000000))</f>
        <v>50.102526950650237</v>
      </c>
      <c r="AH117" s="306">
        <f>IF('R-Definição'!$E$121="Existente",AH90+((('R&amp;C-Painel de Controle'!$D$88+'R&amp;C-Painel de Controle'!$D$89)*('R&amp;C-Painel de Controle'!$D$44+'R&amp;C-Painel de Controle'!$D$46))/1000000),AH90+((('R&amp;C-Painel de Controle'!$D$88)*('R&amp;C-Painel de Controle'!$D$44+'R&amp;C-Painel de Controle'!$D$46))/1000000))</f>
        <v>50.102526950650237</v>
      </c>
      <c r="AI117" s="306">
        <f>IF('R-Definição'!$E$121="Existente",AI90+((('R&amp;C-Painel de Controle'!$D$88+'R&amp;C-Painel de Controle'!$D$89)*('R&amp;C-Painel de Controle'!$D$44+'R&amp;C-Painel de Controle'!$D$46))/1000000),AI90+((('R&amp;C-Painel de Controle'!$D$88)*('R&amp;C-Painel de Controle'!$D$44+'R&amp;C-Painel de Controle'!$D$46))/1000000))</f>
        <v>50.102526950650237</v>
      </c>
      <c r="AJ117" s="306">
        <f>IF('R-Definição'!$E$121="Existente",AJ90+((('R&amp;C-Painel de Controle'!$D$88+'R&amp;C-Painel de Controle'!$D$89)*('R&amp;C-Painel de Controle'!$D$44+'R&amp;C-Painel de Controle'!$D$46))/1000000),AJ90+((('R&amp;C-Painel de Controle'!$D$88)*('R&amp;C-Painel de Controle'!$D$44+'R&amp;C-Painel de Controle'!$D$46))/1000000))</f>
        <v>50.102526950650237</v>
      </c>
      <c r="AK117" s="306">
        <f>IF('R-Definição'!$E$121="Existente",AK90+((('R&amp;C-Painel de Controle'!$D$88+'R&amp;C-Painel de Controle'!$D$89)*('R&amp;C-Painel de Controle'!$D$44+'R&amp;C-Painel de Controle'!$D$46))/1000000),AK90+((('R&amp;C-Painel de Controle'!$D$88)*('R&amp;C-Painel de Controle'!$D$44+'R&amp;C-Painel de Controle'!$D$46))/1000000))</f>
        <v>50.102526950650237</v>
      </c>
      <c r="AL117" s="306">
        <f>IF('R-Definição'!$E$121="Existente",AL90+((('R&amp;C-Painel de Controle'!$D$88+'R&amp;C-Painel de Controle'!$D$89)*('R&amp;C-Painel de Controle'!$D$44+'R&amp;C-Painel de Controle'!$D$46))/1000000),AL90+((('R&amp;C-Painel de Controle'!$D$88)*('R&amp;C-Painel de Controle'!$D$44+'R&amp;C-Painel de Controle'!$D$46))/1000000))</f>
        <v>50.102526950650237</v>
      </c>
      <c r="AM117" s="306">
        <f>IF('R-Definição'!$E$121="Existente",AM90+((('R&amp;C-Painel de Controle'!$D$88+'R&amp;C-Painel de Controle'!$D$89)*('R&amp;C-Painel de Controle'!$D$44+'R&amp;C-Painel de Controle'!$D$46))/1000000),AM90+((('R&amp;C-Painel de Controle'!$D$88)*('R&amp;C-Painel de Controle'!$D$44+'R&amp;C-Painel de Controle'!$D$46))/1000000))</f>
        <v>50.102526950650237</v>
      </c>
      <c r="AN117" s="306">
        <f>IF('R-Definição'!$E$121="Existente",AN90+((('R&amp;C-Painel de Controle'!$D$88+'R&amp;C-Painel de Controle'!$D$89)*('R&amp;C-Painel de Controle'!$D$44+'R&amp;C-Painel de Controle'!$D$46))/1000000),AN90+((('R&amp;C-Painel de Controle'!$D$88)*('R&amp;C-Painel de Controle'!$D$44+'R&amp;C-Painel de Controle'!$D$46))/1000000))</f>
        <v>50.102526950650237</v>
      </c>
      <c r="AO117" s="306">
        <f>IF('R-Definição'!$E$121="Existente",AO90+((('R&amp;C-Painel de Controle'!$D$88+'R&amp;C-Painel de Controle'!$D$89)*('R&amp;C-Painel de Controle'!$D$44+'R&amp;C-Painel de Controle'!$D$46))/1000000),AO90+((('R&amp;C-Painel de Controle'!$D$88)*('R&amp;C-Painel de Controle'!$D$44+'R&amp;C-Painel de Controle'!$D$46))/1000000))</f>
        <v>50.102526950650237</v>
      </c>
      <c r="AP117" s="306">
        <f>IF('R-Definição'!$E$121="Existente",AP90+((('R&amp;C-Painel de Controle'!$D$88+'R&amp;C-Painel de Controle'!$D$89)*('R&amp;C-Painel de Controle'!$D$44+'R&amp;C-Painel de Controle'!$D$46))/1000000),AP90+((('R&amp;C-Painel de Controle'!$D$88)*('R&amp;C-Painel de Controle'!$D$44+'R&amp;C-Painel de Controle'!$D$46))/1000000))</f>
        <v>50.102526950650237</v>
      </c>
      <c r="AQ117" s="306">
        <f>IF('R-Definição'!$E$121="Existente",AQ90+((('R&amp;C-Painel de Controle'!$D$88+'R&amp;C-Painel de Controle'!$D$89)*('R&amp;C-Painel de Controle'!$D$44+'R&amp;C-Painel de Controle'!$D$46))/1000000),AQ90+((('R&amp;C-Painel de Controle'!$D$88)*('R&amp;C-Painel de Controle'!$D$44+'R&amp;C-Painel de Controle'!$D$46))/1000000))</f>
        <v>50.102526950650237</v>
      </c>
      <c r="AR117" s="306">
        <f>IF('R-Definição'!$E$121="Existente",AR90+((('R&amp;C-Painel de Controle'!$D$88+'R&amp;C-Painel de Controle'!$D$89)*('R&amp;C-Painel de Controle'!$D$44+'R&amp;C-Painel de Controle'!$D$46))/1000000),AR90+((('R&amp;C-Painel de Controle'!$D$88)*('R&amp;C-Painel de Controle'!$D$44+'R&amp;C-Painel de Controle'!$D$46))/1000000))</f>
        <v>50.102526950650237</v>
      </c>
      <c r="AS117" s="306">
        <f>IF('R-Definição'!$E$121="Existente",AS90+((('R&amp;C-Painel de Controle'!$D$88+'R&amp;C-Painel de Controle'!$D$89)*('R&amp;C-Painel de Controle'!$D$44+'R&amp;C-Painel de Controle'!$D$46))/1000000),AS90+((('R&amp;C-Painel de Controle'!$D$88)*('R&amp;C-Painel de Controle'!$D$44+'R&amp;C-Painel de Controle'!$D$46))/1000000))</f>
        <v>50.102526950650237</v>
      </c>
      <c r="AT117" s="306">
        <f>IF('R-Definição'!$E$121="Existente",AT90+((('R&amp;C-Painel de Controle'!$D$88+'R&amp;C-Painel de Controle'!$D$89)*('R&amp;C-Painel de Controle'!$D$44+'R&amp;C-Painel de Controle'!$D$46))/1000000),AT90+((('R&amp;C-Painel de Controle'!$D$88)*('R&amp;C-Painel de Controle'!$D$44+'R&amp;C-Painel de Controle'!$D$46))/1000000))</f>
        <v>50.102526950650237</v>
      </c>
      <c r="AU117" s="306">
        <f>IF('R-Definição'!$E$121="Existente",AU90+((('R&amp;C-Painel de Controle'!$D$88+'R&amp;C-Painel de Controle'!$D$89)*('R&amp;C-Painel de Controle'!$D$44+'R&amp;C-Painel de Controle'!$D$46))/1000000),AU90+((('R&amp;C-Painel de Controle'!$D$88)*('R&amp;C-Painel de Controle'!$D$44+'R&amp;C-Painel de Controle'!$D$46))/1000000))</f>
        <v>50.102526950650237</v>
      </c>
      <c r="AV117" s="306">
        <f>IF('R-Definição'!$E$121="Existente",AV90+((('R&amp;C-Painel de Controle'!$D$88+'R&amp;C-Painel de Controle'!$D$89)*('R&amp;C-Painel de Controle'!$D$44+'R&amp;C-Painel de Controle'!$D$46))/1000000),AV90+((('R&amp;C-Painel de Controle'!$D$88)*('R&amp;C-Painel de Controle'!$D$44+'R&amp;C-Painel de Controle'!$D$46))/1000000))</f>
        <v>50.102526950650237</v>
      </c>
      <c r="AW117" s="306">
        <f>IF('R-Definição'!$E$121="Existente",AW90+((('R&amp;C-Painel de Controle'!$D$88+'R&amp;C-Painel de Controle'!$D$89)*('R&amp;C-Painel de Controle'!$D$44+'R&amp;C-Painel de Controle'!$D$46))/1000000),AW90+((('R&amp;C-Painel de Controle'!$D$88)*('R&amp;C-Painel de Controle'!$D$44+'R&amp;C-Painel de Controle'!$D$46))/1000000))</f>
        <v>50.102526950650237</v>
      </c>
      <c r="AX117" s="306">
        <f>IF('R-Definição'!$E$121="Existente",AX90+((('R&amp;C-Painel de Controle'!$D$88+'R&amp;C-Painel de Controle'!$D$89)*('R&amp;C-Painel de Controle'!$D$44+'R&amp;C-Painel de Controle'!$D$46))/1000000),AX90+((('R&amp;C-Painel de Controle'!$D$88)*('R&amp;C-Painel de Controle'!$D$44+'R&amp;C-Painel de Controle'!$D$46))/1000000))</f>
        <v>50.102526950650237</v>
      </c>
      <c r="AY117" s="306">
        <f>IF('R-Definição'!$E$121="Existente",AY90+((('R&amp;C-Painel de Controle'!$D$88+'R&amp;C-Painel de Controle'!$D$89)*('R&amp;C-Painel de Controle'!$D$44+'R&amp;C-Painel de Controle'!$D$46))/1000000),AY90+((('R&amp;C-Painel de Controle'!$D$88)*('R&amp;C-Painel de Controle'!$D$44+'R&amp;C-Painel de Controle'!$D$46))/1000000))</f>
        <v>50.102526950650237</v>
      </c>
      <c r="AZ117" s="306">
        <f>IF('R-Definição'!$E$121="Existente",AZ90+((('R&amp;C-Painel de Controle'!$D$88+'R&amp;C-Painel de Controle'!$D$89)*('R&amp;C-Painel de Controle'!$D$44+'R&amp;C-Painel de Controle'!$D$46))/1000000),AZ90+((('R&amp;C-Painel de Controle'!$D$88)*('R&amp;C-Painel de Controle'!$D$44+'R&amp;C-Painel de Controle'!$D$46))/1000000))</f>
        <v>50.102526950650237</v>
      </c>
      <c r="BA117" s="306">
        <f>IF('R-Definição'!$E$121="Existente",BA90+((('R&amp;C-Painel de Controle'!$D$88+'R&amp;C-Painel de Controle'!$D$89)*('R&amp;C-Painel de Controle'!$D$44+'R&amp;C-Painel de Controle'!$D$46))/1000000),BA90+((('R&amp;C-Painel de Controle'!$D$88)*('R&amp;C-Painel de Controle'!$D$44+'R&amp;C-Painel de Controle'!$D$46))/1000000))</f>
        <v>50.102526950650237</v>
      </c>
      <c r="BB117" s="306">
        <f>IF('R-Definição'!$E$121="Existente",BB90+((('R&amp;C-Painel de Controle'!$D$88+'R&amp;C-Painel de Controle'!$D$89)*('R&amp;C-Painel de Controle'!$D$44+'R&amp;C-Painel de Controle'!$D$46))/1000000),BB90+((('R&amp;C-Painel de Controle'!$D$88)*('R&amp;C-Painel de Controle'!$D$44+'R&amp;C-Painel de Controle'!$D$46))/1000000))</f>
        <v>50.102526950650237</v>
      </c>
      <c r="BC117" s="306">
        <f>IF('R-Definição'!$E$121="Existente",BC90+((('R&amp;C-Painel de Controle'!$D$88+'R&amp;C-Painel de Controle'!$D$89)*('R&amp;C-Painel de Controle'!$D$44+'R&amp;C-Painel de Controle'!$D$46))/1000000),BC90+((('R&amp;C-Painel de Controle'!$D$88)*('R&amp;C-Painel de Controle'!$D$44+'R&amp;C-Painel de Controle'!$D$46))/1000000))</f>
        <v>50.102526950650237</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2.4454456250000005</v>
      </c>
      <c r="D119" s="306">
        <f>(D117+'R&amp;C-Painel de Controle'!$D$28)*(1+$C$118)</f>
        <v>2.4454456250000005</v>
      </c>
      <c r="E119" s="306">
        <f>(E117+'R&amp;C-Painel de Controle'!$D$28)*(1+$C$118)</f>
        <v>2.4454456250000005</v>
      </c>
      <c r="F119" s="306">
        <f>(F117+'R&amp;C-Painel de Controle'!$D$28)*(1+$C$118)</f>
        <v>51.102526950650237</v>
      </c>
      <c r="G119" s="306">
        <f>(G117+'R&amp;C-Painel de Controle'!$D$28)*(1+$C$118)</f>
        <v>51.102526950650237</v>
      </c>
      <c r="H119" s="306">
        <f>(H117+'R&amp;C-Painel de Controle'!$D$28)*(1+$C$118)</f>
        <v>51.102526950650237</v>
      </c>
      <c r="I119" s="306">
        <f>(I117+'R&amp;C-Painel de Controle'!$D$28)*(1+$C$118)</f>
        <v>51.102526950650237</v>
      </c>
      <c r="J119" s="306">
        <f>(J117+'R&amp;C-Painel de Controle'!$D$28)*(1+$C$118)</f>
        <v>51.102526950650237</v>
      </c>
      <c r="K119" s="306">
        <f>(K117+'R&amp;C-Painel de Controle'!$D$28)*(1+$C$118)</f>
        <v>51.102526950650237</v>
      </c>
      <c r="L119" s="306">
        <f>(L117+'R&amp;C-Painel de Controle'!$D$28)*(1+$C$118)</f>
        <v>51.102526950650237</v>
      </c>
      <c r="M119" s="306">
        <f>(M117+'R&amp;C-Painel de Controle'!$D$28)*(1+$C$118)</f>
        <v>51.102526950650237</v>
      </c>
      <c r="N119" s="306">
        <f>(N117+'R&amp;C-Painel de Controle'!$D$28)*(1+$C$118)</f>
        <v>51.102526950650237</v>
      </c>
      <c r="O119" s="306">
        <f>(O117+'R&amp;C-Painel de Controle'!$D$28)*(1+$C$118)</f>
        <v>51.102526950650237</v>
      </c>
      <c r="P119" s="306">
        <f>(P117+'R&amp;C-Painel de Controle'!$D$28)*(1+$C$118)</f>
        <v>51.102526950650237</v>
      </c>
      <c r="Q119" s="306">
        <f>(Q117+'R&amp;C-Painel de Controle'!$D$28)*(1+$C$118)</f>
        <v>51.102526950650237</v>
      </c>
      <c r="R119" s="306">
        <f>(R117+'R&amp;C-Painel de Controle'!$D$28)*(1+$C$118)</f>
        <v>51.102526950650237</v>
      </c>
      <c r="S119" s="306">
        <f>(S117+'R&amp;C-Painel de Controle'!$D$28)*(1+$C$118)</f>
        <v>51.102526950650237</v>
      </c>
      <c r="T119" s="306">
        <f>(T117+'R&amp;C-Painel de Controle'!$D$28)*(1+$C$118)</f>
        <v>51.102526950650237</v>
      </c>
      <c r="U119" s="306">
        <f>(U117+'R&amp;C-Painel de Controle'!$D$28)*(1+$C$118)</f>
        <v>51.102526950650237</v>
      </c>
      <c r="V119" s="306">
        <f>(V117+'R&amp;C-Painel de Controle'!$D$28)*(1+$C$118)</f>
        <v>51.102526950650237</v>
      </c>
      <c r="W119" s="306">
        <f>(W117+'R&amp;C-Painel de Controle'!$D$28)*(1+$C$118)</f>
        <v>51.102526950650237</v>
      </c>
      <c r="X119" s="306">
        <f>(X117+'R&amp;C-Painel de Controle'!$D$28)*(1+$C$118)</f>
        <v>51.102526950650237</v>
      </c>
      <c r="Y119" s="306">
        <f>(Y117+'R&amp;C-Painel de Controle'!$D$28)*(1+$C$118)</f>
        <v>51.102526950650237</v>
      </c>
      <c r="Z119" s="306">
        <f>(Z117+'R&amp;C-Painel de Controle'!$D$28)*(1+$C$118)</f>
        <v>51.102526950650237</v>
      </c>
      <c r="AA119" s="306">
        <f>(AA117+'R&amp;C-Painel de Controle'!$D$28)*(1+$C$118)</f>
        <v>51.102526950650237</v>
      </c>
      <c r="AB119" s="306">
        <f>(AB117+'R&amp;C-Painel de Controle'!$D$28)*(1+$C$118)</f>
        <v>51.102526950650237</v>
      </c>
      <c r="AC119" s="306">
        <f>(AC117+'R&amp;C-Painel de Controle'!$D$28)*(1+$C$118)</f>
        <v>51.102526950650237</v>
      </c>
      <c r="AD119" s="306">
        <f>(AD117+'R&amp;C-Painel de Controle'!$D$28)*(1+$C$118)</f>
        <v>51.102526950650237</v>
      </c>
      <c r="AE119" s="306">
        <f>(AE117+'R&amp;C-Painel de Controle'!$D$28)*(1+$C$118)</f>
        <v>51.102526950650237</v>
      </c>
      <c r="AF119" s="306">
        <f>(AF117+'R&amp;C-Painel de Controle'!$D$28)*(1+$C$118)</f>
        <v>51.102526950650237</v>
      </c>
      <c r="AG119" s="306">
        <f>(AG117+'R&amp;C-Painel de Controle'!$D$28)*(1+$C$118)</f>
        <v>51.102526950650237</v>
      </c>
      <c r="AH119" s="306">
        <f>(AH117+'R&amp;C-Painel de Controle'!$D$28)*(1+$C$118)</f>
        <v>51.102526950650237</v>
      </c>
      <c r="AI119" s="306">
        <f>(AI117+'R&amp;C-Painel de Controle'!$D$28)*(1+$C$118)</f>
        <v>51.102526950650237</v>
      </c>
      <c r="AJ119" s="306">
        <f>(AJ117+'R&amp;C-Painel de Controle'!$D$28)*(1+$C$118)</f>
        <v>51.102526950650237</v>
      </c>
      <c r="AK119" s="306">
        <f>(AK117+'R&amp;C-Painel de Controle'!$D$28)*(1+$C$118)</f>
        <v>51.102526950650237</v>
      </c>
      <c r="AL119" s="306">
        <f>(AL117+'R&amp;C-Painel de Controle'!$D$28)*(1+$C$118)</f>
        <v>51.102526950650237</v>
      </c>
      <c r="AM119" s="306">
        <f>(AM117+'R&amp;C-Painel de Controle'!$D$28)*(1+$C$118)</f>
        <v>51.102526950650237</v>
      </c>
      <c r="AN119" s="306">
        <f>(AN117+'R&amp;C-Painel de Controle'!$D$28)*(1+$C$118)</f>
        <v>51.102526950650237</v>
      </c>
      <c r="AO119" s="306">
        <f>(AO117+'R&amp;C-Painel de Controle'!$D$28)*(1+$C$118)</f>
        <v>51.102526950650237</v>
      </c>
      <c r="AP119" s="306">
        <f>(AP117+'R&amp;C-Painel de Controle'!$D$28)*(1+$C$118)</f>
        <v>51.102526950650237</v>
      </c>
      <c r="AQ119" s="306">
        <f>(AQ117+'R&amp;C-Painel de Controle'!$D$28)*(1+$C$118)</f>
        <v>51.102526950650237</v>
      </c>
      <c r="AR119" s="306">
        <f>(AR117+'R&amp;C-Painel de Controle'!$D$28)*(1+$C$118)</f>
        <v>51.102526950650237</v>
      </c>
      <c r="AS119" s="306">
        <f>(AS117+'R&amp;C-Painel de Controle'!$D$28)*(1+$C$118)</f>
        <v>51.102526950650237</v>
      </c>
      <c r="AT119" s="306">
        <f>(AT117+'R&amp;C-Painel de Controle'!$D$28)*(1+$C$118)</f>
        <v>51.102526950650237</v>
      </c>
      <c r="AU119" s="306">
        <f>(AU117+'R&amp;C-Painel de Controle'!$D$28)*(1+$C$118)</f>
        <v>51.102526950650237</v>
      </c>
      <c r="AV119" s="306">
        <f>(AV117+'R&amp;C-Painel de Controle'!$D$28)*(1+$C$118)</f>
        <v>51.102526950650237</v>
      </c>
      <c r="AW119" s="306">
        <f>(AW117+'R&amp;C-Painel de Controle'!$D$28)*(1+$C$118)</f>
        <v>51.102526950650237</v>
      </c>
      <c r="AX119" s="306">
        <f>(AX117+'R&amp;C-Painel de Controle'!$D$28)*(1+$C$118)</f>
        <v>51.102526950650237</v>
      </c>
      <c r="AY119" s="306">
        <f>(AY117+'R&amp;C-Painel de Controle'!$D$28)*(1+$C$118)</f>
        <v>51.102526950650237</v>
      </c>
      <c r="AZ119" s="306">
        <f>(AZ117+'R&amp;C-Painel de Controle'!$D$28)*(1+$C$118)</f>
        <v>51.102526950650237</v>
      </c>
      <c r="BA119" s="306">
        <f>(BA117+'R&amp;C-Painel de Controle'!$D$28)*(1+$C$118)</f>
        <v>51.102526950650237</v>
      </c>
      <c r="BB119" s="306">
        <f>(BB117+'R&amp;C-Painel de Controle'!$D$28)*(1+$C$118)</f>
        <v>51.102526950650237</v>
      </c>
      <c r="BC119" s="306">
        <f>(BC117+'R&amp;C-Painel de Controle'!$D$28)*(1+$C$118)</f>
        <v>51.102526950650237</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18308.493589743593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Não</v>
      </c>
      <c r="D129" s="325">
        <f>D98</f>
        <v>0</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25">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25">
      <c r="B135" s="906" t="str">
        <f>B104</f>
        <v>Biodigestão Anaeróbia</v>
      </c>
      <c r="C135" s="325" t="str">
        <f>C104</f>
        <v>Não'</v>
      </c>
      <c r="D135" s="325">
        <f>D104</f>
        <v>0</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25">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Sim</v>
      </c>
      <c r="D141" s="325">
        <f>D110</f>
        <v>145007.84635416669</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48.891529792661828</v>
      </c>
      <c r="G143" s="334">
        <f>IF(G57&gt;0,'R&amp;C-Painel de Controle'!$O$71*(1-0.0925)*G35/1000000,0)</f>
        <v>49.121319982687332</v>
      </c>
      <c r="H143" s="334">
        <f>IF(H57&gt;0,'R&amp;C-Painel de Controle'!$O$71*(1-0.0925)*H35/1000000,0)</f>
        <v>49.352190186605959</v>
      </c>
      <c r="I143" s="334">
        <f>IF(I57&gt;0,'R&amp;C-Painel de Controle'!$O$71*(1-0.0925)*I35/1000000,0)</f>
        <v>49.584145480483002</v>
      </c>
      <c r="J143" s="334">
        <f>IF(J57&gt;0,'R&amp;C-Painel de Controle'!$O$71*(1-0.0925)*J35/1000000,0)</f>
        <v>49.817190964241277</v>
      </c>
      <c r="K143" s="334">
        <f>IF(K57&gt;0,'R&amp;C-Painel de Controle'!$O$71*(1-0.0925)*K35/1000000,0)</f>
        <v>50.051331761773213</v>
      </c>
      <c r="L143" s="334">
        <f>IF(L57&gt;0,'R&amp;C-Painel de Controle'!$O$71*(1-0.0925)*L35/1000000,0)</f>
        <v>50.286573021053542</v>
      </c>
      <c r="M143" s="334">
        <f>IF(M57&gt;0,'R&amp;C-Painel de Controle'!$O$71*(1-0.0925)*M35/1000000,0)</f>
        <v>50.522919914252498</v>
      </c>
      <c r="N143" s="334">
        <f>IF(N57&gt;0,'R&amp;C-Painel de Controle'!$O$71*(1-0.0925)*N35/1000000,0)</f>
        <v>50.760377637849473</v>
      </c>
      <c r="O143" s="334">
        <f>IF(O57&gt;0,'R&amp;C-Painel de Controle'!$O$71*(1-0.0925)*O35/1000000,0)</f>
        <v>50.99895141274736</v>
      </c>
      <c r="P143" s="334">
        <f>IF(P57&gt;0,'R&amp;C-Painel de Controle'!$O$71*(1-0.0925)*P35/1000000,0)</f>
        <v>51.238646484387274</v>
      </c>
      <c r="Q143" s="334">
        <f>IF(Q57&gt;0,'R&amp;C-Painel de Controle'!$O$71*(1-0.0925)*Q35/1000000,0)</f>
        <v>51.479468122863878</v>
      </c>
      <c r="R143" s="334">
        <f>IF(R57&gt;0,'R&amp;C-Painel de Controle'!$O$71*(1-0.0925)*R35/1000000,0)</f>
        <v>51.721421623041337</v>
      </c>
      <c r="S143" s="334">
        <f>IF(S57&gt;0,'R&amp;C-Painel de Controle'!$O$71*(1-0.0925)*S35/1000000,0)</f>
        <v>51.964512304669626</v>
      </c>
      <c r="T143" s="334">
        <f>IF(T57&gt;0,'R&amp;C-Painel de Controle'!$O$71*(1-0.0925)*T35/1000000,0)</f>
        <v>52.208745512501572</v>
      </c>
      <c r="U143" s="334">
        <f>IF(U57&gt;0,'R&amp;C-Painel de Controle'!$O$71*(1-0.0925)*U35/1000000,0)</f>
        <v>52.454126616410321</v>
      </c>
      <c r="V143" s="334">
        <f>IF(V57&gt;0,'R&amp;C-Painel de Controle'!$O$71*(1-0.0925)*V35/1000000,0)</f>
        <v>52.700661011507442</v>
      </c>
      <c r="W143" s="334">
        <f>IF(W57&gt;0,'R&amp;C-Painel de Controle'!$O$71*(1-0.0925)*W35/1000000,0)</f>
        <v>52.948354118261527</v>
      </c>
      <c r="X143" s="334">
        <f>IF(X57&gt;0,'R&amp;C-Painel de Controle'!$O$71*(1-0.0925)*X35/1000000,0)</f>
        <v>53.197211382617347</v>
      </c>
      <c r="Y143" s="334">
        <f>IF(Y57&gt;0,'R&amp;C-Painel de Controle'!$O$71*(1-0.0925)*Y35/1000000,0)</f>
        <v>53.447238276115641</v>
      </c>
      <c r="Z143" s="334">
        <f>IF(Z57&gt;0,'R&amp;C-Painel de Controle'!$O$71*(1-0.0925)*Z35/1000000,0)</f>
        <v>53.698440296013388</v>
      </c>
      <c r="AA143" s="334">
        <f>IF(AA57&gt;0,'R&amp;C-Painel de Controle'!$O$71*(1-0.0925)*AA35/1000000,0)</f>
        <v>53.950822965404647</v>
      </c>
      <c r="AB143" s="334">
        <f>IF(AB57&gt;0,'R&amp;C-Painel de Controle'!$O$71*(1-0.0925)*AB35/1000000,0)</f>
        <v>54.204391833342036</v>
      </c>
      <c r="AC143" s="334">
        <f>IF(AC57&gt;0,'R&amp;C-Painel de Controle'!$O$71*(1-0.0925)*AC35/1000000,0)</f>
        <v>54.459152474958742</v>
      </c>
      <c r="AD143" s="334">
        <f>IF(AD57&gt;0,'R&amp;C-Painel de Controle'!$O$71*(1-0.0925)*AD35/1000000,0)</f>
        <v>54.715110491591041</v>
      </c>
      <c r="AE143" s="334">
        <f>IF(AE57&gt;0,'R&amp;C-Painel de Controle'!$O$71*(1-0.0925)*AE35/1000000,0)</f>
        <v>54.972271510901514</v>
      </c>
      <c r="AF143" s="334">
        <f>IF(AF57&gt;0,'R&amp;C-Painel de Controle'!$O$71*(1-0.0925)*AF35/1000000,0)</f>
        <v>55.230641187002746</v>
      </c>
      <c r="AG143" s="334">
        <f>IF(AG57&gt;0,'R&amp;C-Painel de Controle'!$O$71*(1-0.0925)*AG35/1000000,0)</f>
        <v>55.490225200581655</v>
      </c>
      <c r="AH143" s="334">
        <f>IF(AH57&gt;0,'R&amp;C-Painel de Controle'!$O$71*(1-0.0925)*AH35/1000000,0)</f>
        <v>55.751029259024392</v>
      </c>
      <c r="AI143" s="334">
        <f>IF(AI57&gt;0,'R&amp;C-Painel de Controle'!$O$71*(1-0.0925)*AI35/1000000,0)</f>
        <v>56.013059096541802</v>
      </c>
      <c r="AJ143" s="334">
        <f>IF(AJ57&gt;0,'R&amp;C-Painel de Controle'!$O$71*(1-0.0925)*AJ35/1000000,0)</f>
        <v>56.276320474295545</v>
      </c>
      <c r="AK143" s="334">
        <f>IF(AK57&gt;0,'R&amp;C-Painel de Controle'!$O$71*(1-0.0925)*AK35/1000000,0)</f>
        <v>56.540819180524728</v>
      </c>
      <c r="AL143" s="334">
        <f>IF(AL57&gt;0,'R&amp;C-Painel de Controle'!$O$71*(1-0.0925)*AL35/1000000,0)</f>
        <v>56.806561030673194</v>
      </c>
      <c r="AM143" s="334">
        <f>IF(AM57&gt;0,'R&amp;C-Painel de Controle'!$O$71*(1-0.0925)*AM35/1000000,0)</f>
        <v>57.073551867517352</v>
      </c>
      <c r="AN143" s="334">
        <f>IF(AN57&gt;0,'R&amp;C-Painel de Controle'!$O$71*(1-0.0925)*AN35/1000000,0)</f>
        <v>57.341797561294683</v>
      </c>
      <c r="AO143" s="334">
        <f>IF(AO57&gt;0,'R&amp;C-Painel de Controle'!$O$71*(1-0.0925)*AO35/1000000,0)</f>
        <v>57.611304009832764</v>
      </c>
      <c r="AP143" s="334">
        <f>IF(AP57&gt;0,'R&amp;C-Painel de Controle'!$O$71*(1-0.0925)*AP35/1000000,0)</f>
        <v>57.882077138678966</v>
      </c>
      <c r="AQ143" s="334">
        <f>IF(AQ57&gt;0,'R&amp;C-Painel de Controle'!$O$71*(1-0.0925)*AQ35/1000000,0)</f>
        <v>58.15412290123075</v>
      </c>
      <c r="AR143" s="334">
        <f>IF(AR57&gt;0,'R&amp;C-Painel de Controle'!$O$71*(1-0.0925)*AR35/1000000,0)</f>
        <v>58.427447278866538</v>
      </c>
      <c r="AS143" s="334">
        <f>IF(AS57&gt;0,'R&amp;C-Painel de Controle'!$O$71*(1-0.0925)*AS35/1000000,0)</f>
        <v>58.702056281077205</v>
      </c>
      <c r="AT143" s="334">
        <f>IF(AT57&gt;0,'R&amp;C-Painel de Controle'!$O$71*(1-0.0925)*AT35/1000000,0)</f>
        <v>58.977955945598275</v>
      </c>
      <c r="AU143" s="334">
        <f>IF(AU57&gt;0,'R&amp;C-Painel de Controle'!$O$71*(1-0.0925)*AU35/1000000,0)</f>
        <v>59.255152338542587</v>
      </c>
      <c r="AV143" s="334">
        <f>IF(AV57&gt;0,'R&amp;C-Painel de Controle'!$O$71*(1-0.0925)*AV35/1000000,0)</f>
        <v>59.533651554533726</v>
      </c>
      <c r="AW143" s="334">
        <f>IF(AW57&gt;0,'R&amp;C-Painel de Controle'!$O$71*(1-0.0925)*AW35/1000000,0)</f>
        <v>59.813459716840036</v>
      </c>
      <c r="AX143" s="334">
        <f>IF(AX57&gt;0,'R&amp;C-Painel de Controle'!$O$71*(1-0.0925)*AX35/1000000,0)</f>
        <v>60.094582977509177</v>
      </c>
      <c r="AY143" s="334">
        <f>IF(AY57&gt;0,'R&amp;C-Painel de Controle'!$O$71*(1-0.0925)*AY35/1000000,0)</f>
        <v>60.377027517503471</v>
      </c>
      <c r="AZ143" s="334">
        <f>IF(AZ57&gt;0,'R&amp;C-Painel de Controle'!$O$71*(1-0.0925)*AZ35/1000000,0)</f>
        <v>60.660799546835733</v>
      </c>
      <c r="BA143" s="334">
        <f>IF(BA57&gt;0,'R&amp;C-Painel de Controle'!$O$71*(1-0.0925)*BA35/1000000,0)</f>
        <v>60.94590530470586</v>
      </c>
      <c r="BB143" s="334">
        <f>IF(BB57&gt;0,'R&amp;C-Painel de Controle'!$O$71*(1-0.0925)*BB35/1000000,0)</f>
        <v>61.232351059637978</v>
      </c>
      <c r="BC143" s="334">
        <f>IF(BC57&gt;0,'R&amp;C-Painel de Controle'!$O$71*(1-0.0925)*BC35/1000000,0)</f>
        <v>61.520143109618267</v>
      </c>
      <c r="BD143" s="305"/>
      <c r="BE143" s="305"/>
      <c r="BF143" s="305"/>
    </row>
    <row r="144" spans="2:58" s="206" customFormat="1" ht="18" hidden="1" customHeight="1" outlineLevel="1" x14ac:dyDescent="0.25">
      <c r="B144" s="906" t="str">
        <f>B113</f>
        <v>Aterro Sanitário</v>
      </c>
      <c r="C144" s="325" t="str">
        <f>C113</f>
        <v>Sim</v>
      </c>
      <c r="D144" s="325">
        <f>D113</f>
        <v>47781.569270833337</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70.164397786431309</v>
      </c>
      <c r="D148" s="306">
        <f t="shared" si="51"/>
        <v>70.494170456027533</v>
      </c>
      <c r="E148" s="306">
        <f t="shared" si="51"/>
        <v>70.825493057170846</v>
      </c>
      <c r="F148" s="306">
        <f t="shared" si="51"/>
        <v>71.158372874539538</v>
      </c>
      <c r="G148" s="306">
        <f t="shared" si="51"/>
        <v>71.492817227049855</v>
      </c>
      <c r="H148" s="306">
        <f t="shared" si="51"/>
        <v>71.828833468016995</v>
      </c>
      <c r="I148" s="306">
        <f t="shared" si="51"/>
        <v>72.166428985316657</v>
      </c>
      <c r="J148" s="306">
        <f t="shared" si="51"/>
        <v>72.505611201547651</v>
      </c>
      <c r="K148" s="306">
        <f t="shared" si="51"/>
        <v>72.846387574194935</v>
      </c>
      <c r="L148" s="306">
        <f t="shared" si="51"/>
        <v>73.18876559579364</v>
      </c>
      <c r="M148" s="306">
        <f t="shared" si="51"/>
        <v>73.532752794093881</v>
      </c>
      <c r="N148" s="306">
        <f t="shared" si="51"/>
        <v>73.878356732226095</v>
      </c>
      <c r="O148" s="306">
        <f t="shared" si="51"/>
        <v>74.225585008867554</v>
      </c>
      <c r="P148" s="306">
        <f t="shared" si="51"/>
        <v>74.574445258409227</v>
      </c>
      <c r="Q148" s="306">
        <f t="shared" si="51"/>
        <v>74.924945151123737</v>
      </c>
      <c r="R148" s="306">
        <f t="shared" si="51"/>
        <v>75.27709239333403</v>
      </c>
      <c r="S148" s="306">
        <f t="shared" si="51"/>
        <v>75.630894727582685</v>
      </c>
      <c r="T148" s="306">
        <f t="shared" si="51"/>
        <v>75.986359932802316</v>
      </c>
      <c r="U148" s="306">
        <f t="shared" si="51"/>
        <v>76.343495824486467</v>
      </c>
      <c r="V148" s="306">
        <f t="shared" si="51"/>
        <v>76.702310254861573</v>
      </c>
      <c r="W148" s="306">
        <f t="shared" si="51"/>
        <v>77.062811113059396</v>
      </c>
      <c r="X148" s="306">
        <f t="shared" si="51"/>
        <v>77.425006325290767</v>
      </c>
      <c r="Y148" s="306">
        <f t="shared" si="51"/>
        <v>77.78890385501964</v>
      </c>
      <c r="Z148" s="306">
        <f t="shared" si="51"/>
        <v>78.154511703138226</v>
      </c>
      <c r="AA148" s="306">
        <f t="shared" si="51"/>
        <v>78.521837908142956</v>
      </c>
      <c r="AB148" s="306">
        <f t="shared" si="51"/>
        <v>78.890890546311226</v>
      </c>
      <c r="AC148" s="306">
        <f t="shared" si="51"/>
        <v>79.261677731878876</v>
      </c>
      <c r="AD148" s="306">
        <f t="shared" si="51"/>
        <v>79.634207617218692</v>
      </c>
      <c r="AE148" s="306">
        <f t="shared" si="51"/>
        <v>80.008488393019604</v>
      </c>
      <c r="AF148" s="306">
        <f t="shared" si="51"/>
        <v>80.384528288466825</v>
      </c>
      <c r="AG148" s="306">
        <f t="shared" si="51"/>
        <v>80.762335571422597</v>
      </c>
      <c r="AH148" s="306">
        <f t="shared" si="51"/>
        <v>81.141918548608288</v>
      </c>
      <c r="AI148" s="306">
        <f t="shared" ref="AI148:BC148" si="52">AI35*$H$26*(1-0.0925-$C$10)/1000000+AI149</f>
        <v>81.523285565786736</v>
      </c>
      <c r="AJ148" s="306">
        <f t="shared" si="52"/>
        <v>81.906445007945919</v>
      </c>
      <c r="AK148" s="306">
        <f t="shared" si="52"/>
        <v>82.291405299483273</v>
      </c>
      <c r="AL148" s="306">
        <f t="shared" si="52"/>
        <v>82.678174904390843</v>
      </c>
      <c r="AM148" s="306">
        <f t="shared" si="52"/>
        <v>83.066762326441463</v>
      </c>
      <c r="AN148" s="306">
        <f t="shared" si="52"/>
        <v>83.457176109375737</v>
      </c>
      <c r="AO148" s="306">
        <f t="shared" si="52"/>
        <v>83.849424837089785</v>
      </c>
      <c r="AP148" s="306">
        <f t="shared" si="52"/>
        <v>84.243517133824099</v>
      </c>
      <c r="AQ148" s="306">
        <f t="shared" si="52"/>
        <v>84.639461664353078</v>
      </c>
      <c r="AR148" s="306">
        <f t="shared" si="52"/>
        <v>85.037267134175536</v>
      </c>
      <c r="AS148" s="306">
        <f t="shared" si="52"/>
        <v>85.436942289706153</v>
      </c>
      <c r="AT148" s="306">
        <f t="shared" si="52"/>
        <v>85.838495918467785</v>
      </c>
      <c r="AU148" s="306">
        <f t="shared" si="52"/>
        <v>86.241936849284571</v>
      </c>
      <c r="AV148" s="306">
        <f t="shared" si="52"/>
        <v>86.647273952476198</v>
      </c>
      <c r="AW148" s="306">
        <f t="shared" si="52"/>
        <v>87.054516140052826</v>
      </c>
      <c r="AX148" s="306">
        <f t="shared" si="52"/>
        <v>87.46367236591108</v>
      </c>
      <c r="AY148" s="306">
        <f t="shared" si="52"/>
        <v>87.874751626030843</v>
      </c>
      <c r="AZ148" s="306">
        <f t="shared" si="52"/>
        <v>88.287762958673184</v>
      </c>
      <c r="BA148" s="306">
        <f t="shared" si="52"/>
        <v>88.702715444578942</v>
      </c>
      <c r="BB148" s="306">
        <f t="shared" si="52"/>
        <v>89.119618207168472</v>
      </c>
      <c r="BC148" s="306">
        <f t="shared" si="52"/>
        <v>89.53848041274216</v>
      </c>
    </row>
    <row r="149" spans="2:58" s="206" customFormat="1" ht="16.899999999999999" customHeight="1" x14ac:dyDescent="0.25">
      <c r="B149" s="206" t="s">
        <v>991</v>
      </c>
      <c r="C149" s="306">
        <f>'R&amp;C-Painel de Controle'!D31*312*'R&amp;C-Painel de Controle'!H31*(1-0.0925-$C$10)/1000000</f>
        <v>1.8768330631535273</v>
      </c>
      <c r="D149" s="306">
        <f>C149*(1+'R&amp;C-Painel de Controle'!$D$27)</f>
        <v>1.8856541785503487</v>
      </c>
      <c r="E149" s="306">
        <f>D149*(1+'R&amp;C-Painel de Controle'!$D$27)</f>
        <v>1.8945167531895353</v>
      </c>
      <c r="F149" s="306">
        <f>E149*(1+'R&amp;C-Painel de Controle'!$D$27)</f>
        <v>1.903420981929526</v>
      </c>
      <c r="G149" s="306">
        <f>F149*(1+'R&amp;C-Painel de Controle'!$D$27)</f>
        <v>1.9123670605445946</v>
      </c>
      <c r="H149" s="306">
        <f>G149*(1+'R&amp;C-Painel de Controle'!$D$27)</f>
        <v>1.921355185729154</v>
      </c>
      <c r="I149" s="306">
        <f>H149*(1+'R&amp;C-Painel de Controle'!$D$27)</f>
        <v>1.9303855551020808</v>
      </c>
      <c r="J149" s="306">
        <f>I149*(1+'R&amp;C-Painel de Controle'!$D$27)</f>
        <v>1.9394583672110604</v>
      </c>
      <c r="K149" s="306">
        <f>J149*(1+'R&amp;C-Painel de Controle'!$D$27)</f>
        <v>1.9485738215369521</v>
      </c>
      <c r="L149" s="306">
        <f>K149*(1+'R&amp;C-Painel de Controle'!$D$27)</f>
        <v>1.9577321184981757</v>
      </c>
      <c r="M149" s="306">
        <f>L149*(1+'R&amp;C-Painel de Controle'!$D$27)</f>
        <v>1.9669334594551171</v>
      </c>
      <c r="N149" s="306">
        <f>M149*(1+'R&amp;C-Painel de Controle'!$D$27)</f>
        <v>1.976178046714556</v>
      </c>
      <c r="O149" s="306">
        <f>N149*(1+'R&amp;C-Painel de Controle'!$D$27)</f>
        <v>1.9854660835341142</v>
      </c>
      <c r="P149" s="306">
        <f>O149*(1+'R&amp;C-Painel de Controle'!$D$27)</f>
        <v>1.9947977741267244</v>
      </c>
      <c r="Q149" s="306">
        <f>P149*(1+'R&amp;C-Painel de Controle'!$D$27)</f>
        <v>2.0041733236651198</v>
      </c>
      <c r="R149" s="306">
        <f>Q149*(1+'R&amp;C-Painel de Controle'!$D$27)</f>
        <v>2.0135929382863456</v>
      </c>
      <c r="S149" s="306">
        <f>R149*(1+'R&amp;C-Painel de Controle'!$D$27)</f>
        <v>2.0230568250962913</v>
      </c>
      <c r="T149" s="306">
        <f>S149*(1+'R&amp;C-Painel de Controle'!$D$27)</f>
        <v>2.0325651921742436</v>
      </c>
      <c r="U149" s="306">
        <f>T149*(1+'R&amp;C-Painel de Controle'!$D$27)</f>
        <v>2.0421182485774625</v>
      </c>
      <c r="V149" s="306">
        <f>U149*(1+'R&amp;C-Painel de Controle'!$D$27)</f>
        <v>2.0517162043457766</v>
      </c>
      <c r="W149" s="306">
        <f>V149*(1+'R&amp;C-Painel de Controle'!$D$27)</f>
        <v>2.0613592705062018</v>
      </c>
      <c r="X149" s="306">
        <f>W149*(1+'R&amp;C-Painel de Controle'!$D$27)</f>
        <v>2.071047659077581</v>
      </c>
      <c r="Y149" s="306">
        <f>X149*(1+'R&amp;C-Painel de Controle'!$D$27)</f>
        <v>2.0807815830752454</v>
      </c>
      <c r="Z149" s="306">
        <f>Y149*(1+'R&amp;C-Painel de Controle'!$D$27)</f>
        <v>2.090561256515699</v>
      </c>
      <c r="AA149" s="306">
        <f>Z149*(1+'R&amp;C-Painel de Controle'!$D$27)</f>
        <v>2.1003868944213226</v>
      </c>
      <c r="AB149" s="306">
        <f>AA149*(1+'R&amp;C-Painel de Controle'!$D$27)</f>
        <v>2.1102587128251029</v>
      </c>
      <c r="AC149" s="306">
        <f>AB149*(1+'R&amp;C-Painel de Controle'!$D$27)</f>
        <v>2.1201769287753809</v>
      </c>
      <c r="AD149" s="306">
        <f>AC149*(1+'R&amp;C-Painel de Controle'!$D$27)</f>
        <v>2.1301417603406252</v>
      </c>
      <c r="AE149" s="306">
        <f>AD149*(1+'R&amp;C-Painel de Controle'!$D$27)</f>
        <v>2.1401534266142259</v>
      </c>
      <c r="AF149" s="306">
        <f>AE149*(1+'R&amp;C-Painel de Controle'!$D$27)</f>
        <v>2.1502121477193126</v>
      </c>
      <c r="AG149" s="306">
        <f>AF149*(1+'R&amp;C-Painel de Controle'!$D$27)</f>
        <v>2.1603181448135933</v>
      </c>
      <c r="AH149" s="306">
        <f>AG149*(1+'R&amp;C-Painel de Controle'!$D$27)</f>
        <v>2.1704716400942172</v>
      </c>
      <c r="AI149" s="306">
        <f>AH149*(1+'R&amp;C-Painel de Controle'!$D$27)</f>
        <v>2.1806728568026599</v>
      </c>
      <c r="AJ149" s="306">
        <f>AI149*(1+'R&amp;C-Painel de Controle'!$D$27)</f>
        <v>2.1909220192296321</v>
      </c>
      <c r="AK149" s="306">
        <f>AJ149*(1+'R&amp;C-Painel de Controle'!$D$27)</f>
        <v>2.2012193527200115</v>
      </c>
      <c r="AL149" s="306">
        <f>AK149*(1+'R&amp;C-Painel de Controle'!$D$27)</f>
        <v>2.2115650836777951</v>
      </c>
      <c r="AM149" s="306">
        <f>AL149*(1+'R&amp;C-Painel de Controle'!$D$27)</f>
        <v>2.2219594395710804</v>
      </c>
      <c r="AN149" s="306">
        <f>AM149*(1+'R&amp;C-Painel de Controle'!$D$27)</f>
        <v>2.2324026489370645</v>
      </c>
      <c r="AO149" s="306">
        <f>AN149*(1+'R&amp;C-Painel de Controle'!$D$27)</f>
        <v>2.2428949413870685</v>
      </c>
      <c r="AP149" s="306">
        <f>AO149*(1+'R&amp;C-Painel de Controle'!$D$27)</f>
        <v>2.2534365476115874</v>
      </c>
      <c r="AQ149" s="306">
        <f>AP149*(1+'R&amp;C-Painel de Controle'!$D$27)</f>
        <v>2.2640276993853616</v>
      </c>
      <c r="AR149" s="306">
        <f>AQ149*(1+'R&amp;C-Painel de Controle'!$D$27)</f>
        <v>2.2746686295724725</v>
      </c>
      <c r="AS149" s="306">
        <f>AR149*(1+'R&amp;C-Painel de Controle'!$D$27)</f>
        <v>2.2853595721314628</v>
      </c>
      <c r="AT149" s="306">
        <f>AS149*(1+'R&amp;C-Painel de Controle'!$D$27)</f>
        <v>2.2961007621204805</v>
      </c>
      <c r="AU149" s="306">
        <f>AT149*(1+'R&amp;C-Painel de Controle'!$D$27)</f>
        <v>2.3068924357024465</v>
      </c>
      <c r="AV149" s="306">
        <f>AU149*(1+'R&amp;C-Painel de Controle'!$D$27)</f>
        <v>2.3177348301502478</v>
      </c>
      <c r="AW149" s="306">
        <f>AV149*(1+'R&amp;C-Painel de Controle'!$D$27)</f>
        <v>2.3286281838519538</v>
      </c>
      <c r="AX149" s="306">
        <f>AW149*(1+'R&amp;C-Painel de Controle'!$D$27)</f>
        <v>2.3395727363160579</v>
      </c>
      <c r="AY149" s="306">
        <f>AX149*(1+'R&amp;C-Painel de Controle'!$D$27)</f>
        <v>2.3505687281767433</v>
      </c>
      <c r="AZ149" s="306">
        <f>AY149*(1+'R&amp;C-Painel de Controle'!$D$27)</f>
        <v>2.361616401199174</v>
      </c>
      <c r="BA149" s="306">
        <f>AZ149*(1+'R&amp;C-Painel de Controle'!$D$27)</f>
        <v>2.3727159982848098</v>
      </c>
      <c r="BB149" s="306">
        <f>BA149*(1+'R&amp;C-Painel de Controle'!$D$27)</f>
        <v>2.3838677634767484</v>
      </c>
      <c r="BC149" s="306">
        <f>BB149*(1+'R&amp;C-Painel de Controle'!$D$27)</f>
        <v>2.3950719419650888</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67.718952161431304</v>
      </c>
      <c r="D151" s="307">
        <f t="shared" si="53"/>
        <v>68.048724831027528</v>
      </c>
      <c r="E151" s="307">
        <f t="shared" si="53"/>
        <v>68.380047432170841</v>
      </c>
      <c r="F151" s="307">
        <f t="shared" si="53"/>
        <v>20.055845923889301</v>
      </c>
      <c r="G151" s="307">
        <f t="shared" si="53"/>
        <v>20.390290276399618</v>
      </c>
      <c r="H151" s="307">
        <f t="shared" si="53"/>
        <v>20.726306517366758</v>
      </c>
      <c r="I151" s="307">
        <f t="shared" si="53"/>
        <v>21.06390203466642</v>
      </c>
      <c r="J151" s="307">
        <f t="shared" si="53"/>
        <v>21.403084250897415</v>
      </c>
      <c r="K151" s="307">
        <f t="shared" si="53"/>
        <v>21.743860623544698</v>
      </c>
      <c r="L151" s="307">
        <f t="shared" si="53"/>
        <v>22.086238645143403</v>
      </c>
      <c r="M151" s="307">
        <f t="shared" si="53"/>
        <v>22.430225843443644</v>
      </c>
      <c r="N151" s="307">
        <f t="shared" si="53"/>
        <v>22.775829781575858</v>
      </c>
      <c r="O151" s="307">
        <f t="shared" si="53"/>
        <v>23.123058058217318</v>
      </c>
      <c r="P151" s="307">
        <f t="shared" si="53"/>
        <v>23.47191830775899</v>
      </c>
      <c r="Q151" s="307">
        <f t="shared" si="53"/>
        <v>23.8224182004735</v>
      </c>
      <c r="R151" s="307">
        <f t="shared" si="53"/>
        <v>24.174565442683793</v>
      </c>
      <c r="S151" s="307">
        <f t="shared" si="53"/>
        <v>24.528367776932448</v>
      </c>
      <c r="T151" s="307">
        <f t="shared" si="53"/>
        <v>24.883832982152079</v>
      </c>
      <c r="U151" s="307">
        <f t="shared" si="53"/>
        <v>25.240968873836231</v>
      </c>
      <c r="V151" s="307">
        <f t="shared" si="53"/>
        <v>25.599783304211336</v>
      </c>
      <c r="W151" s="307">
        <f t="shared" si="53"/>
        <v>25.96028416240916</v>
      </c>
      <c r="X151" s="307">
        <f t="shared" si="53"/>
        <v>26.32247937464053</v>
      </c>
      <c r="Y151" s="307">
        <f t="shared" si="53"/>
        <v>26.686376904369403</v>
      </c>
      <c r="Z151" s="307">
        <f t="shared" si="53"/>
        <v>27.051984752487989</v>
      </c>
      <c r="AA151" s="307">
        <f t="shared" si="53"/>
        <v>27.419310957492719</v>
      </c>
      <c r="AB151" s="307">
        <f t="shared" si="53"/>
        <v>27.788363595660989</v>
      </c>
      <c r="AC151" s="307">
        <f t="shared" si="53"/>
        <v>28.159150781228639</v>
      </c>
      <c r="AD151" s="307">
        <f t="shared" si="53"/>
        <v>28.531680666568455</v>
      </c>
      <c r="AE151" s="307">
        <f t="shared" si="53"/>
        <v>28.905961442369367</v>
      </c>
      <c r="AF151" s="307">
        <f t="shared" si="53"/>
        <v>29.282001337816588</v>
      </c>
      <c r="AG151" s="307">
        <f t="shared" si="53"/>
        <v>29.65980862077236</v>
      </c>
      <c r="AH151" s="307">
        <f t="shared" si="53"/>
        <v>30.039391597958051</v>
      </c>
      <c r="AI151" s="307">
        <f t="shared" si="53"/>
        <v>30.420758615136499</v>
      </c>
      <c r="AJ151" s="307">
        <f t="shared" si="53"/>
        <v>30.803918057295682</v>
      </c>
      <c r="AK151" s="307">
        <f t="shared" si="53"/>
        <v>31.188878348833036</v>
      </c>
      <c r="AL151" s="307">
        <f t="shared" si="53"/>
        <v>31.575647953740607</v>
      </c>
      <c r="AM151" s="307">
        <f t="shared" si="53"/>
        <v>31.964235375791226</v>
      </c>
      <c r="AN151" s="307">
        <f t="shared" si="53"/>
        <v>32.354649158725501</v>
      </c>
      <c r="AO151" s="307">
        <f t="shared" si="53"/>
        <v>32.746897886439548</v>
      </c>
      <c r="AP151" s="307">
        <f t="shared" si="53"/>
        <v>33.140990183173862</v>
      </c>
      <c r="AQ151" s="307">
        <f t="shared" si="53"/>
        <v>33.536934713702841</v>
      </c>
      <c r="AR151" s="307">
        <f t="shared" si="53"/>
        <v>33.9347401835253</v>
      </c>
      <c r="AS151" s="307">
        <f t="shared" si="53"/>
        <v>34.334415339055916</v>
      </c>
      <c r="AT151" s="307">
        <f t="shared" si="53"/>
        <v>34.735968967817549</v>
      </c>
      <c r="AU151" s="307">
        <f t="shared" si="53"/>
        <v>35.139409898634334</v>
      </c>
      <c r="AV151" s="307">
        <f t="shared" si="53"/>
        <v>35.544747001825961</v>
      </c>
      <c r="AW151" s="307">
        <f t="shared" si="53"/>
        <v>35.951989189402589</v>
      </c>
      <c r="AX151" s="307">
        <f t="shared" si="53"/>
        <v>36.361145415260843</v>
      </c>
      <c r="AY151" s="307">
        <f t="shared" si="53"/>
        <v>36.772224675380606</v>
      </c>
      <c r="AZ151" s="307">
        <f t="shared" si="53"/>
        <v>37.185236008022947</v>
      </c>
      <c r="BA151" s="307">
        <f t="shared" si="53"/>
        <v>37.600188493928705</v>
      </c>
      <c r="BB151" s="307">
        <f t="shared" si="53"/>
        <v>38.017091256518235</v>
      </c>
      <c r="BC151" s="307">
        <f t="shared" si="53"/>
        <v>38.435953462091923</v>
      </c>
    </row>
    <row r="152" spans="2:58" s="206" customFormat="1" ht="16.899999999999999" customHeight="1" outlineLevel="1" x14ac:dyDescent="0.25">
      <c r="B152" s="206" t="s">
        <v>413</v>
      </c>
      <c r="C152" s="307">
        <f>C63</f>
        <v>173.56270709055957</v>
      </c>
      <c r="D152" s="307">
        <f>IF(SUM($C$152:C152)&lt;'R&amp;C-Painel de Controle'!$H$24,D63,0)</f>
        <v>333.01295951874692</v>
      </c>
      <c r="E152" s="307">
        <f>IF(SUM($C$152:D152)&lt;'R&amp;C-Painel de Controle'!$H$24,E63,0)</f>
        <v>235.96101621375709</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-105.84375492912827</v>
      </c>
      <c r="D153" s="307">
        <f t="shared" si="54"/>
        <v>-264.9642346877194</v>
      </c>
      <c r="E153" s="307">
        <f t="shared" si="54"/>
        <v>-167.58096878158625</v>
      </c>
      <c r="F153" s="307">
        <f t="shared" si="54"/>
        <v>20.055845923889301</v>
      </c>
      <c r="G153" s="307">
        <f t="shared" si="54"/>
        <v>20.390290276399618</v>
      </c>
      <c r="H153" s="307">
        <f t="shared" si="54"/>
        <v>20.726306517366758</v>
      </c>
      <c r="I153" s="307">
        <f t="shared" si="54"/>
        <v>21.06390203466642</v>
      </c>
      <c r="J153" s="307">
        <f t="shared" si="54"/>
        <v>21.403084250897415</v>
      </c>
      <c r="K153" s="307">
        <f t="shared" si="54"/>
        <v>21.743860623544698</v>
      </c>
      <c r="L153" s="307">
        <f t="shared" si="54"/>
        <v>22.086238645143403</v>
      </c>
      <c r="M153" s="307">
        <f t="shared" si="54"/>
        <v>22.430225843443644</v>
      </c>
      <c r="N153" s="307">
        <f t="shared" si="54"/>
        <v>22.775829781575858</v>
      </c>
      <c r="O153" s="307">
        <f t="shared" si="54"/>
        <v>23.123058058217318</v>
      </c>
      <c r="P153" s="307">
        <f t="shared" si="54"/>
        <v>23.47191830775899</v>
      </c>
      <c r="Q153" s="307">
        <f t="shared" si="54"/>
        <v>23.8224182004735</v>
      </c>
      <c r="R153" s="307">
        <f t="shared" si="54"/>
        <v>24.174565442683793</v>
      </c>
      <c r="S153" s="307">
        <f t="shared" si="54"/>
        <v>24.528367776932448</v>
      </c>
      <c r="T153" s="307">
        <f t="shared" si="54"/>
        <v>24.883832982152079</v>
      </c>
      <c r="U153" s="307">
        <f t="shared" si="54"/>
        <v>25.240968873836231</v>
      </c>
      <c r="V153" s="307">
        <f t="shared" si="54"/>
        <v>25.599783304211336</v>
      </c>
      <c r="W153" s="307">
        <f t="shared" si="54"/>
        <v>25.96028416240916</v>
      </c>
      <c r="X153" s="307">
        <f t="shared" si="54"/>
        <v>26.32247937464053</v>
      </c>
      <c r="Y153" s="307">
        <f t="shared" si="54"/>
        <v>26.686376904369403</v>
      </c>
      <c r="Z153" s="307">
        <f t="shared" si="54"/>
        <v>27.051984752487989</v>
      </c>
      <c r="AA153" s="307">
        <f t="shared" si="54"/>
        <v>27.419310957492719</v>
      </c>
      <c r="AB153" s="307">
        <f t="shared" si="54"/>
        <v>27.788363595660989</v>
      </c>
      <c r="AC153" s="307">
        <f t="shared" si="54"/>
        <v>28.159150781228639</v>
      </c>
      <c r="AD153" s="307">
        <f t="shared" si="54"/>
        <v>28.531680666568455</v>
      </c>
      <c r="AE153" s="307">
        <f t="shared" si="54"/>
        <v>28.905961442369367</v>
      </c>
      <c r="AF153" s="307">
        <f t="shared" si="54"/>
        <v>29.282001337816588</v>
      </c>
      <c r="AG153" s="307">
        <f t="shared" si="54"/>
        <v>29.65980862077236</v>
      </c>
      <c r="AH153" s="307">
        <f t="shared" si="54"/>
        <v>30.039391597958051</v>
      </c>
      <c r="AI153" s="307">
        <f t="shared" si="54"/>
        <v>30.420758615136499</v>
      </c>
      <c r="AJ153" s="307">
        <f t="shared" si="54"/>
        <v>30.803918057295682</v>
      </c>
      <c r="AK153" s="307">
        <f t="shared" si="54"/>
        <v>31.188878348833036</v>
      </c>
      <c r="AL153" s="307">
        <f t="shared" si="54"/>
        <v>31.575647953740607</v>
      </c>
      <c r="AM153" s="307">
        <f t="shared" si="54"/>
        <v>31.964235375791226</v>
      </c>
      <c r="AN153" s="307">
        <f t="shared" si="54"/>
        <v>32.354649158725501</v>
      </c>
      <c r="AO153" s="307">
        <f t="shared" si="54"/>
        <v>32.746897886439548</v>
      </c>
      <c r="AP153" s="307">
        <f t="shared" si="54"/>
        <v>33.140990183173862</v>
      </c>
      <c r="AQ153" s="307">
        <f t="shared" si="54"/>
        <v>33.536934713702841</v>
      </c>
      <c r="AR153" s="307">
        <f t="shared" si="54"/>
        <v>33.9347401835253</v>
      </c>
      <c r="AS153" s="307">
        <f t="shared" si="54"/>
        <v>34.334415339055916</v>
      </c>
      <c r="AT153" s="307">
        <f t="shared" si="54"/>
        <v>34.735968967817549</v>
      </c>
      <c r="AU153" s="307">
        <f t="shared" si="54"/>
        <v>35.139409898634334</v>
      </c>
      <c r="AV153" s="307">
        <f t="shared" si="54"/>
        <v>35.544747001825961</v>
      </c>
      <c r="AW153" s="307">
        <f t="shared" si="54"/>
        <v>35.951989189402589</v>
      </c>
      <c r="AX153" s="307">
        <f t="shared" si="54"/>
        <v>36.361145415260843</v>
      </c>
      <c r="AY153" s="307">
        <f t="shared" si="54"/>
        <v>36.772224675380606</v>
      </c>
      <c r="AZ153" s="307">
        <f t="shared" si="54"/>
        <v>37.185236008022947</v>
      </c>
      <c r="BA153" s="307">
        <f t="shared" si="54"/>
        <v>37.600188493928705</v>
      </c>
      <c r="BB153" s="307">
        <f t="shared" si="54"/>
        <v>38.017091256518235</v>
      </c>
      <c r="BC153" s="307">
        <f t="shared" si="54"/>
        <v>38.435953462091923</v>
      </c>
    </row>
    <row r="154" spans="2:58" s="206" customFormat="1" ht="16.899999999999999" customHeight="1" outlineLevel="1" x14ac:dyDescent="0.25">
      <c r="B154" s="301" t="s">
        <v>415</v>
      </c>
      <c r="C154" s="307">
        <f>IF((C153&gt;0),C153*(1-($C$26+$C$25)),C153)</f>
        <v>-105.84375492912827</v>
      </c>
      <c r="D154" s="307">
        <f t="shared" ref="D154:BC154" si="55">IF((D153&gt;0),D153*(1-($C$26+$C$25)),D153)</f>
        <v>-264.9642346877194</v>
      </c>
      <c r="E154" s="307">
        <f t="shared" si="55"/>
        <v>-167.58096878158625</v>
      </c>
      <c r="F154" s="307">
        <f t="shared" si="55"/>
        <v>13.236858309766939</v>
      </c>
      <c r="G154" s="307">
        <f t="shared" si="55"/>
        <v>13.457591582423749</v>
      </c>
      <c r="H154" s="307">
        <f t="shared" si="55"/>
        <v>13.679362301462062</v>
      </c>
      <c r="I154" s="307">
        <f t="shared" si="55"/>
        <v>13.902175342879838</v>
      </c>
      <c r="J154" s="307">
        <f t="shared" si="55"/>
        <v>14.126035605592294</v>
      </c>
      <c r="K154" s="307">
        <f t="shared" si="55"/>
        <v>14.350948011539501</v>
      </c>
      <c r="L154" s="307">
        <f t="shared" si="55"/>
        <v>14.576917505794647</v>
      </c>
      <c r="M154" s="307">
        <f t="shared" si="55"/>
        <v>14.803949056672806</v>
      </c>
      <c r="N154" s="307">
        <f t="shared" si="55"/>
        <v>15.032047655840067</v>
      </c>
      <c r="O154" s="307">
        <f t="shared" si="55"/>
        <v>15.261218318423431</v>
      </c>
      <c r="P154" s="307">
        <f t="shared" si="55"/>
        <v>15.491466083120935</v>
      </c>
      <c r="Q154" s="307">
        <f t="shared" si="55"/>
        <v>15.722796012312511</v>
      </c>
      <c r="R154" s="307">
        <f t="shared" si="55"/>
        <v>15.955213192171303</v>
      </c>
      <c r="S154" s="307">
        <f t="shared" si="55"/>
        <v>16.188722732775418</v>
      </c>
      <c r="T154" s="307">
        <f t="shared" si="55"/>
        <v>16.423329768220373</v>
      </c>
      <c r="U154" s="307">
        <f t="shared" si="55"/>
        <v>16.659039456731914</v>
      </c>
      <c r="V154" s="307">
        <f t="shared" si="55"/>
        <v>16.895856980779481</v>
      </c>
      <c r="W154" s="307">
        <f t="shared" si="55"/>
        <v>17.133787547190046</v>
      </c>
      <c r="X154" s="307">
        <f t="shared" si="55"/>
        <v>17.372836387262751</v>
      </c>
      <c r="Y154" s="307">
        <f t="shared" si="55"/>
        <v>17.613008756883808</v>
      </c>
      <c r="Z154" s="307">
        <f t="shared" si="55"/>
        <v>17.854309936642075</v>
      </c>
      <c r="AA154" s="307">
        <f t="shared" si="55"/>
        <v>18.096745231945196</v>
      </c>
      <c r="AB154" s="307">
        <f t="shared" si="55"/>
        <v>18.340319973136253</v>
      </c>
      <c r="AC154" s="307">
        <f t="shared" si="55"/>
        <v>18.585039515610902</v>
      </c>
      <c r="AD154" s="307">
        <f t="shared" si="55"/>
        <v>18.830909239935181</v>
      </c>
      <c r="AE154" s="307">
        <f t="shared" si="55"/>
        <v>19.077934551963782</v>
      </c>
      <c r="AF154" s="307">
        <f t="shared" si="55"/>
        <v>19.32612088295895</v>
      </c>
      <c r="AG154" s="307">
        <f t="shared" si="55"/>
        <v>19.575473689709757</v>
      </c>
      <c r="AH154" s="307">
        <f t="shared" si="55"/>
        <v>19.825998454652314</v>
      </c>
      <c r="AI154" s="307">
        <f t="shared" si="55"/>
        <v>20.077700685990092</v>
      </c>
      <c r="AJ154" s="307">
        <f t="shared" si="55"/>
        <v>20.330585917815153</v>
      </c>
      <c r="AK154" s="307">
        <f t="shared" si="55"/>
        <v>20.584659710229804</v>
      </c>
      <c r="AL154" s="307">
        <f t="shared" si="55"/>
        <v>20.839927649468802</v>
      </c>
      <c r="AM154" s="307">
        <f t="shared" si="55"/>
        <v>21.09639534802221</v>
      </c>
      <c r="AN154" s="307">
        <f t="shared" si="55"/>
        <v>21.35406844475883</v>
      </c>
      <c r="AO154" s="307">
        <f t="shared" si="55"/>
        <v>21.612952605050104</v>
      </c>
      <c r="AP154" s="307">
        <f t="shared" si="55"/>
        <v>21.87305352089475</v>
      </c>
      <c r="AQ154" s="307">
        <f t="shared" si="55"/>
        <v>22.134376911043876</v>
      </c>
      <c r="AR154" s="307">
        <f t="shared" si="55"/>
        <v>22.3969285211267</v>
      </c>
      <c r="AS154" s="307">
        <f t="shared" si="55"/>
        <v>22.660714123776906</v>
      </c>
      <c r="AT154" s="307">
        <f t="shared" si="55"/>
        <v>22.925739518759585</v>
      </c>
      <c r="AU154" s="307">
        <f t="shared" si="55"/>
        <v>23.19201053309866</v>
      </c>
      <c r="AV154" s="307">
        <f t="shared" si="55"/>
        <v>23.459533021205136</v>
      </c>
      <c r="AW154" s="307">
        <f t="shared" si="55"/>
        <v>23.728312865005709</v>
      </c>
      <c r="AX154" s="307">
        <f t="shared" si="55"/>
        <v>23.998355974072158</v>
      </c>
      <c r="AY154" s="307">
        <f t="shared" si="55"/>
        <v>24.269668285751202</v>
      </c>
      <c r="AZ154" s="307">
        <f t="shared" si="55"/>
        <v>24.542255765295145</v>
      </c>
      <c r="BA154" s="307">
        <f t="shared" si="55"/>
        <v>24.816124405992948</v>
      </c>
      <c r="BB154" s="307">
        <f t="shared" si="55"/>
        <v>25.091280229302036</v>
      </c>
      <c r="BC154" s="307">
        <f t="shared" si="55"/>
        <v>25.367729284980669</v>
      </c>
    </row>
    <row r="155" spans="2:58" s="206" customFormat="1" ht="16.899999999999999" customHeight="1" outlineLevel="1" x14ac:dyDescent="0.25">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-105.84375492912827</v>
      </c>
      <c r="D156" s="307">
        <f t="shared" ref="D156:BC156" si="56">D154</f>
        <v>-264.9642346877194</v>
      </c>
      <c r="E156" s="307">
        <f t="shared" si="56"/>
        <v>-167.58096878158625</v>
      </c>
      <c r="F156" s="307">
        <f t="shared" si="56"/>
        <v>13.236858309766939</v>
      </c>
      <c r="G156" s="307">
        <f t="shared" si="56"/>
        <v>13.457591582423749</v>
      </c>
      <c r="H156" s="307">
        <f t="shared" si="56"/>
        <v>13.679362301462062</v>
      </c>
      <c r="I156" s="307">
        <f t="shared" si="56"/>
        <v>13.902175342879838</v>
      </c>
      <c r="J156" s="307">
        <f t="shared" si="56"/>
        <v>14.126035605592294</v>
      </c>
      <c r="K156" s="307">
        <f t="shared" si="56"/>
        <v>14.350948011539501</v>
      </c>
      <c r="L156" s="307">
        <f t="shared" si="56"/>
        <v>14.576917505794647</v>
      </c>
      <c r="M156" s="307">
        <f t="shared" si="56"/>
        <v>14.803949056672806</v>
      </c>
      <c r="N156" s="307">
        <f t="shared" si="56"/>
        <v>15.032047655840067</v>
      </c>
      <c r="O156" s="307">
        <f t="shared" si="56"/>
        <v>15.261218318423431</v>
      </c>
      <c r="P156" s="307">
        <f t="shared" si="56"/>
        <v>15.491466083120935</v>
      </c>
      <c r="Q156" s="307">
        <f t="shared" si="56"/>
        <v>15.722796012312511</v>
      </c>
      <c r="R156" s="307">
        <f t="shared" si="56"/>
        <v>15.955213192171303</v>
      </c>
      <c r="S156" s="307">
        <f t="shared" si="56"/>
        <v>16.188722732775418</v>
      </c>
      <c r="T156" s="307">
        <f t="shared" si="56"/>
        <v>16.423329768220373</v>
      </c>
      <c r="U156" s="307">
        <f t="shared" si="56"/>
        <v>16.659039456731914</v>
      </c>
      <c r="V156" s="307">
        <f t="shared" si="56"/>
        <v>16.895856980779481</v>
      </c>
      <c r="W156" s="307">
        <f t="shared" si="56"/>
        <v>17.133787547190046</v>
      </c>
      <c r="X156" s="307">
        <f t="shared" si="56"/>
        <v>17.372836387262751</v>
      </c>
      <c r="Y156" s="307">
        <f t="shared" si="56"/>
        <v>17.613008756883808</v>
      </c>
      <c r="Z156" s="307">
        <f t="shared" si="56"/>
        <v>17.854309936642075</v>
      </c>
      <c r="AA156" s="307">
        <f t="shared" si="56"/>
        <v>18.096745231945196</v>
      </c>
      <c r="AB156" s="307">
        <f t="shared" si="56"/>
        <v>18.340319973136253</v>
      </c>
      <c r="AC156" s="307">
        <f t="shared" si="56"/>
        <v>18.585039515610902</v>
      </c>
      <c r="AD156" s="307">
        <f t="shared" si="56"/>
        <v>18.830909239935181</v>
      </c>
      <c r="AE156" s="307">
        <f t="shared" si="56"/>
        <v>19.077934551963782</v>
      </c>
      <c r="AF156" s="307">
        <f t="shared" si="56"/>
        <v>19.32612088295895</v>
      </c>
      <c r="AG156" s="307">
        <f t="shared" si="56"/>
        <v>19.575473689709757</v>
      </c>
      <c r="AH156" s="307">
        <f t="shared" si="56"/>
        <v>19.825998454652314</v>
      </c>
      <c r="AI156" s="307">
        <f t="shared" si="56"/>
        <v>20.077700685990092</v>
      </c>
      <c r="AJ156" s="307">
        <f t="shared" si="56"/>
        <v>20.330585917815153</v>
      </c>
      <c r="AK156" s="307">
        <f t="shared" si="56"/>
        <v>20.584659710229804</v>
      </c>
      <c r="AL156" s="307">
        <f t="shared" si="56"/>
        <v>20.839927649468802</v>
      </c>
      <c r="AM156" s="307">
        <f t="shared" si="56"/>
        <v>21.09639534802221</v>
      </c>
      <c r="AN156" s="307">
        <f t="shared" si="56"/>
        <v>21.35406844475883</v>
      </c>
      <c r="AO156" s="307">
        <f t="shared" si="56"/>
        <v>21.612952605050104</v>
      </c>
      <c r="AP156" s="307">
        <f t="shared" si="56"/>
        <v>21.87305352089475</v>
      </c>
      <c r="AQ156" s="307">
        <f t="shared" si="56"/>
        <v>22.134376911043876</v>
      </c>
      <c r="AR156" s="307">
        <f t="shared" si="56"/>
        <v>22.3969285211267</v>
      </c>
      <c r="AS156" s="307">
        <f t="shared" si="56"/>
        <v>22.660714123776906</v>
      </c>
      <c r="AT156" s="307">
        <f t="shared" si="56"/>
        <v>22.925739518759585</v>
      </c>
      <c r="AU156" s="307">
        <f t="shared" si="56"/>
        <v>23.19201053309866</v>
      </c>
      <c r="AV156" s="307">
        <f t="shared" si="56"/>
        <v>23.459533021205136</v>
      </c>
      <c r="AW156" s="307">
        <f t="shared" si="56"/>
        <v>23.728312865005709</v>
      </c>
      <c r="AX156" s="307">
        <f t="shared" si="56"/>
        <v>23.998355974072158</v>
      </c>
      <c r="AY156" s="307">
        <f t="shared" si="56"/>
        <v>24.269668285751202</v>
      </c>
      <c r="AZ156" s="307">
        <f t="shared" si="56"/>
        <v>24.542255765295145</v>
      </c>
      <c r="BA156" s="307">
        <f t="shared" si="56"/>
        <v>24.816124405992948</v>
      </c>
      <c r="BB156" s="307">
        <f t="shared" si="56"/>
        <v>25.091280229302036</v>
      </c>
      <c r="BC156" s="307">
        <f t="shared" si="56"/>
        <v>25.367729284980669</v>
      </c>
    </row>
    <row r="157" spans="2:58" s="309" customFormat="1" ht="16.899999999999999" customHeight="1" outlineLevel="1" x14ac:dyDescent="0.25">
      <c r="B157" s="309" t="s">
        <v>465</v>
      </c>
      <c r="C157" s="310">
        <f>C156</f>
        <v>-105.84375492912827</v>
      </c>
      <c r="D157" s="310">
        <f t="shared" ref="D157:BC157" si="57">C157+D156</f>
        <v>-370.80798961684764</v>
      </c>
      <c r="E157" s="310">
        <f t="shared" si="57"/>
        <v>-538.38895839843394</v>
      </c>
      <c r="F157" s="310">
        <f t="shared" si="57"/>
        <v>-525.152100088667</v>
      </c>
      <c r="G157" s="310">
        <f t="shared" si="57"/>
        <v>-511.69450850624327</v>
      </c>
      <c r="H157" s="310">
        <f t="shared" si="57"/>
        <v>-498.01514620478122</v>
      </c>
      <c r="I157" s="310">
        <f t="shared" si="57"/>
        <v>-484.11297086190137</v>
      </c>
      <c r="J157" s="310">
        <f t="shared" si="57"/>
        <v>-469.9869352563091</v>
      </c>
      <c r="K157" s="310">
        <f t="shared" si="57"/>
        <v>-455.63598724476958</v>
      </c>
      <c r="L157" s="310">
        <f t="shared" si="57"/>
        <v>-441.05906973897493</v>
      </c>
      <c r="M157" s="310">
        <f t="shared" si="57"/>
        <v>-426.25512068230211</v>
      </c>
      <c r="N157" s="310">
        <f t="shared" si="57"/>
        <v>-411.22307302646203</v>
      </c>
      <c r="O157" s="310">
        <f t="shared" si="57"/>
        <v>-395.96185470803857</v>
      </c>
      <c r="P157" s="310">
        <f t="shared" si="57"/>
        <v>-380.47038862491763</v>
      </c>
      <c r="Q157" s="310">
        <f t="shared" si="57"/>
        <v>-364.7475926126051</v>
      </c>
      <c r="R157" s="310">
        <f t="shared" si="57"/>
        <v>-348.7923794204338</v>
      </c>
      <c r="S157" s="310">
        <f t="shared" si="57"/>
        <v>-332.60365668765837</v>
      </c>
      <c r="T157" s="310">
        <f t="shared" si="57"/>
        <v>-316.18032691943802</v>
      </c>
      <c r="U157" s="310">
        <f t="shared" si="57"/>
        <v>-299.52128746270608</v>
      </c>
      <c r="V157" s="310">
        <f t="shared" si="57"/>
        <v>-282.62543048192663</v>
      </c>
      <c r="W157" s="310">
        <f t="shared" si="57"/>
        <v>-265.4916429347366</v>
      </c>
      <c r="X157" s="310">
        <f t="shared" si="57"/>
        <v>-248.11880654747387</v>
      </c>
      <c r="Y157" s="310">
        <f t="shared" si="57"/>
        <v>-230.50579779059007</v>
      </c>
      <c r="Z157" s="310">
        <f t="shared" si="57"/>
        <v>-212.651487853948</v>
      </c>
      <c r="AA157" s="310">
        <f t="shared" si="57"/>
        <v>-194.55474262200281</v>
      </c>
      <c r="AB157" s="310">
        <f t="shared" si="57"/>
        <v>-176.21442264886656</v>
      </c>
      <c r="AC157" s="310">
        <f t="shared" si="57"/>
        <v>-157.62938313325566</v>
      </c>
      <c r="AD157" s="310">
        <f t="shared" si="57"/>
        <v>-138.79847389332048</v>
      </c>
      <c r="AE157" s="310">
        <f t="shared" si="57"/>
        <v>-119.7205393413567</v>
      </c>
      <c r="AF157" s="310">
        <f t="shared" si="57"/>
        <v>-100.39441845839775</v>
      </c>
      <c r="AG157" s="310">
        <f t="shared" si="57"/>
        <v>-80.818944768687999</v>
      </c>
      <c r="AH157" s="310">
        <f t="shared" si="57"/>
        <v>-60.992946314035684</v>
      </c>
      <c r="AI157" s="310">
        <f t="shared" si="57"/>
        <v>-40.915245628045597</v>
      </c>
      <c r="AJ157" s="310">
        <f t="shared" si="57"/>
        <v>-20.584659710230444</v>
      </c>
      <c r="AK157" s="310">
        <f t="shared" si="57"/>
        <v>-6.3948846218409017E-13</v>
      </c>
      <c r="AL157" s="310">
        <f t="shared" si="57"/>
        <v>20.839927649468162</v>
      </c>
      <c r="AM157" s="310">
        <f t="shared" si="57"/>
        <v>41.936322997490372</v>
      </c>
      <c r="AN157" s="310">
        <f t="shared" si="57"/>
        <v>63.290391442249202</v>
      </c>
      <c r="AO157" s="310">
        <f t="shared" si="57"/>
        <v>84.903344047299299</v>
      </c>
      <c r="AP157" s="310">
        <f t="shared" si="57"/>
        <v>106.77639756819406</v>
      </c>
      <c r="AQ157" s="310">
        <f t="shared" si="57"/>
        <v>128.91077447923794</v>
      </c>
      <c r="AR157" s="310">
        <f t="shared" si="57"/>
        <v>151.30770300036465</v>
      </c>
      <c r="AS157" s="310">
        <f t="shared" si="57"/>
        <v>173.96841712414155</v>
      </c>
      <c r="AT157" s="310">
        <f t="shared" si="57"/>
        <v>196.89415664290112</v>
      </c>
      <c r="AU157" s="310">
        <f t="shared" si="57"/>
        <v>220.08616717599978</v>
      </c>
      <c r="AV157" s="310">
        <f t="shared" si="57"/>
        <v>243.54570019720492</v>
      </c>
      <c r="AW157" s="310">
        <f t="shared" si="57"/>
        <v>267.27401306221066</v>
      </c>
      <c r="AX157" s="310">
        <f t="shared" si="57"/>
        <v>291.27236903628284</v>
      </c>
      <c r="AY157" s="310">
        <f t="shared" si="57"/>
        <v>315.54203732203405</v>
      </c>
      <c r="AZ157" s="310">
        <f t="shared" si="57"/>
        <v>340.08429308732917</v>
      </c>
      <c r="BA157" s="310">
        <f t="shared" si="57"/>
        <v>364.9004174933221</v>
      </c>
      <c r="BB157" s="310">
        <f t="shared" si="57"/>
        <v>389.99169772262411</v>
      </c>
      <c r="BC157" s="310">
        <f t="shared" si="57"/>
        <v>415.35942700760478</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-96.449567094157345</v>
      </c>
      <c r="D159" s="312">
        <f t="shared" ref="D159:BC159" si="58">NPV($C$28,D156)</f>
        <v>-241.44727053737873</v>
      </c>
      <c r="E159" s="312">
        <f t="shared" si="58"/>
        <v>-152.70727973536199</v>
      </c>
      <c r="F159" s="312">
        <f t="shared" si="58"/>
        <v>12.062017778172899</v>
      </c>
      <c r="G159" s="312">
        <f t="shared" si="58"/>
        <v>12.263159816314698</v>
      </c>
      <c r="H159" s="312">
        <f t="shared" si="58"/>
        <v>12.465247222035778</v>
      </c>
      <c r="I159" s="312">
        <f t="shared" si="58"/>
        <v>12.668284438563731</v>
      </c>
      <c r="J159" s="312">
        <f t="shared" si="58"/>
        <v>12.872275930009382</v>
      </c>
      <c r="K159" s="312">
        <f t="shared" si="58"/>
        <v>13.077226181464827</v>
      </c>
      <c r="L159" s="312">
        <f t="shared" si="58"/>
        <v>13.283139699102103</v>
      </c>
      <c r="M159" s="312">
        <f t="shared" si="58"/>
        <v>13.490021010272287</v>
      </c>
      <c r="N159" s="312">
        <f t="shared" si="58"/>
        <v>13.697874663604946</v>
      </c>
      <c r="O159" s="312">
        <f t="shared" si="58"/>
        <v>13.906705229108285</v>
      </c>
      <c r="P159" s="312">
        <f t="shared" si="58"/>
        <v>14.116517298269487</v>
      </c>
      <c r="Q159" s="312">
        <f t="shared" si="58"/>
        <v>14.327315484155742</v>
      </c>
      <c r="R159" s="312">
        <f t="shared" si="58"/>
        <v>14.539104421515678</v>
      </c>
      <c r="S159" s="312">
        <f t="shared" si="58"/>
        <v>14.751888766881191</v>
      </c>
      <c r="T159" s="312">
        <f t="shared" si="58"/>
        <v>14.965673198669924</v>
      </c>
      <c r="U159" s="312">
        <f t="shared" si="58"/>
        <v>15.180462417288059</v>
      </c>
      <c r="V159" s="312">
        <f t="shared" si="58"/>
        <v>15.396261145233717</v>
      </c>
      <c r="W159" s="312">
        <f t="shared" si="58"/>
        <v>15.613074127200699</v>
      </c>
      <c r="X159" s="312">
        <f t="shared" si="58"/>
        <v>15.830906130182935</v>
      </c>
      <c r="Y159" s="312">
        <f t="shared" si="58"/>
        <v>16.049761943579195</v>
      </c>
      <c r="Z159" s="312">
        <f t="shared" si="58"/>
        <v>16.269646379298411</v>
      </c>
      <c r="AA159" s="312">
        <f t="shared" si="58"/>
        <v>16.490564271865498</v>
      </c>
      <c r="AB159" s="312">
        <f t="shared" si="58"/>
        <v>16.712520478527662</v>
      </c>
      <c r="AC159" s="312">
        <f t="shared" si="58"/>
        <v>16.935519879361127</v>
      </c>
      <c r="AD159" s="312">
        <f t="shared" si="58"/>
        <v>17.159567377378515</v>
      </c>
      <c r="AE159" s="312">
        <f t="shared" si="58"/>
        <v>17.384667898636579</v>
      </c>
      <c r="AF159" s="312">
        <f t="shared" si="58"/>
        <v>17.610826392344588</v>
      </c>
      <c r="AG159" s="312">
        <f t="shared" si="58"/>
        <v>17.83804783097299</v>
      </c>
      <c r="AH159" s="312">
        <f t="shared" si="58"/>
        <v>18.066337210362963</v>
      </c>
      <c r="AI159" s="312">
        <f t="shared" si="58"/>
        <v>18.295699549836062</v>
      </c>
      <c r="AJ159" s="312">
        <f t="shared" si="58"/>
        <v>18.526139892304677</v>
      </c>
      <c r="AK159" s="312">
        <f t="shared" si="58"/>
        <v>18.757663304382909</v>
      </c>
      <c r="AL159" s="312">
        <f t="shared" si="58"/>
        <v>18.990274876497907</v>
      </c>
      <c r="AM159" s="312">
        <f t="shared" si="58"/>
        <v>19.223979723001833</v>
      </c>
      <c r="AN159" s="312">
        <f t="shared" si="58"/>
        <v>19.458782982284337</v>
      </c>
      <c r="AO159" s="312">
        <f t="shared" si="58"/>
        <v>19.694689816885461</v>
      </c>
      <c r="AP159" s="312">
        <f t="shared" si="58"/>
        <v>19.931705413609215</v>
      </c>
      <c r="AQ159" s="312">
        <f t="shared" si="58"/>
        <v>20.169834983637578</v>
      </c>
      <c r="AR159" s="312">
        <f t="shared" si="58"/>
        <v>20.409083762645071</v>
      </c>
      <c r="AS159" s="312">
        <f t="shared" si="58"/>
        <v>20.649457010913896</v>
      </c>
      <c r="AT159" s="312">
        <f t="shared" si="58"/>
        <v>20.890960013449597</v>
      </c>
      <c r="AU159" s="312">
        <f t="shared" si="58"/>
        <v>21.133598080097194</v>
      </c>
      <c r="AV159" s="312">
        <f t="shared" si="58"/>
        <v>21.377376545658045</v>
      </c>
      <c r="AW159" s="312">
        <f t="shared" si="58"/>
        <v>21.622300770007026</v>
      </c>
      <c r="AX159" s="312">
        <f t="shared" si="58"/>
        <v>21.868376138210461</v>
      </c>
      <c r="AY159" s="312">
        <f t="shared" si="58"/>
        <v>22.115608060644433</v>
      </c>
      <c r="AZ159" s="312">
        <f t="shared" si="58"/>
        <v>22.364001973113858</v>
      </c>
      <c r="BA159" s="312">
        <f t="shared" si="58"/>
        <v>22.613563336971886</v>
      </c>
      <c r="BB159" s="312">
        <f t="shared" si="58"/>
        <v>22.864297639240057</v>
      </c>
      <c r="BC159" s="312">
        <f t="shared" si="58"/>
        <v>23.116210392728878</v>
      </c>
    </row>
    <row r="160" spans="2:58" s="309" customFormat="1" ht="16.899999999999999" customHeight="1" outlineLevel="1" x14ac:dyDescent="0.25">
      <c r="B160" s="313" t="s">
        <v>467</v>
      </c>
      <c r="C160" s="312">
        <f>C159</f>
        <v>-96.449567094157345</v>
      </c>
      <c r="D160" s="312">
        <f t="shared" ref="D160:BC160" si="59">C160+D159</f>
        <v>-337.89683763153607</v>
      </c>
      <c r="E160" s="312">
        <f t="shared" si="59"/>
        <v>-490.60411736689809</v>
      </c>
      <c r="F160" s="312">
        <f t="shared" si="59"/>
        <v>-478.54209958872519</v>
      </c>
      <c r="G160" s="312">
        <f t="shared" si="59"/>
        <v>-466.27893977241047</v>
      </c>
      <c r="H160" s="312">
        <f t="shared" si="59"/>
        <v>-453.8136925503747</v>
      </c>
      <c r="I160" s="312">
        <f t="shared" si="59"/>
        <v>-441.14540811181098</v>
      </c>
      <c r="J160" s="312">
        <f t="shared" si="59"/>
        <v>-428.2731321818016</v>
      </c>
      <c r="K160" s="312">
        <f t="shared" si="59"/>
        <v>-415.19590600033678</v>
      </c>
      <c r="L160" s="312">
        <f t="shared" si="59"/>
        <v>-401.91276630123468</v>
      </c>
      <c r="M160" s="312">
        <f t="shared" si="59"/>
        <v>-388.42274529096238</v>
      </c>
      <c r="N160" s="312">
        <f t="shared" si="59"/>
        <v>-374.72487062735746</v>
      </c>
      <c r="O160" s="312">
        <f t="shared" si="59"/>
        <v>-360.81816539824916</v>
      </c>
      <c r="P160" s="312">
        <f t="shared" si="59"/>
        <v>-346.70164809997965</v>
      </c>
      <c r="Q160" s="312">
        <f t="shared" si="59"/>
        <v>-332.3743326158239</v>
      </c>
      <c r="R160" s="312">
        <f t="shared" si="59"/>
        <v>-317.83522819430823</v>
      </c>
      <c r="S160" s="312">
        <f t="shared" si="59"/>
        <v>-303.08333942742706</v>
      </c>
      <c r="T160" s="312">
        <f t="shared" si="59"/>
        <v>-288.11766622875712</v>
      </c>
      <c r="U160" s="312">
        <f t="shared" si="59"/>
        <v>-272.93720381146903</v>
      </c>
      <c r="V160" s="312">
        <f t="shared" si="59"/>
        <v>-257.54094266623531</v>
      </c>
      <c r="W160" s="312">
        <f t="shared" si="59"/>
        <v>-241.92786853903462</v>
      </c>
      <c r="X160" s="312">
        <f t="shared" si="59"/>
        <v>-226.09696240885168</v>
      </c>
      <c r="Y160" s="312">
        <f t="shared" si="59"/>
        <v>-210.04720046527248</v>
      </c>
      <c r="Z160" s="312">
        <f t="shared" si="59"/>
        <v>-193.77755408597406</v>
      </c>
      <c r="AA160" s="312">
        <f t="shared" si="59"/>
        <v>-177.28698981410855</v>
      </c>
      <c r="AB160" s="312">
        <f t="shared" si="59"/>
        <v>-160.57446933558089</v>
      </c>
      <c r="AC160" s="312">
        <f t="shared" si="59"/>
        <v>-143.63894945621976</v>
      </c>
      <c r="AD160" s="312">
        <f t="shared" si="59"/>
        <v>-126.47938207884124</v>
      </c>
      <c r="AE160" s="312">
        <f t="shared" si="59"/>
        <v>-109.09471418020466</v>
      </c>
      <c r="AF160" s="312">
        <f t="shared" si="59"/>
        <v>-91.48388778786007</v>
      </c>
      <c r="AG160" s="312">
        <f t="shared" si="59"/>
        <v>-73.645839956887073</v>
      </c>
      <c r="AH160" s="312">
        <f t="shared" si="59"/>
        <v>-55.579502746524113</v>
      </c>
      <c r="AI160" s="312">
        <f t="shared" si="59"/>
        <v>-37.283803196688055</v>
      </c>
      <c r="AJ160" s="312">
        <f t="shared" si="59"/>
        <v>-18.757663304383378</v>
      </c>
      <c r="AK160" s="312">
        <f t="shared" si="59"/>
        <v>-4.6895820560166612E-13</v>
      </c>
      <c r="AL160" s="312">
        <f t="shared" si="59"/>
        <v>18.990274876497438</v>
      </c>
      <c r="AM160" s="312">
        <f t="shared" si="59"/>
        <v>38.21425459949927</v>
      </c>
      <c r="AN160" s="312">
        <f t="shared" si="59"/>
        <v>57.673037581783603</v>
      </c>
      <c r="AO160" s="312">
        <f t="shared" si="59"/>
        <v>77.367727398669061</v>
      </c>
      <c r="AP160" s="312">
        <f t="shared" si="59"/>
        <v>97.299432812278269</v>
      </c>
      <c r="AQ160" s="312">
        <f t="shared" si="59"/>
        <v>117.46926779591584</v>
      </c>
      <c r="AR160" s="312">
        <f t="shared" si="59"/>
        <v>137.87835155856092</v>
      </c>
      <c r="AS160" s="312">
        <f t="shared" si="59"/>
        <v>158.52780856947481</v>
      </c>
      <c r="AT160" s="312">
        <f t="shared" si="59"/>
        <v>179.4187685829244</v>
      </c>
      <c r="AU160" s="312">
        <f t="shared" si="59"/>
        <v>200.55236666302159</v>
      </c>
      <c r="AV160" s="312">
        <f t="shared" si="59"/>
        <v>221.92974320867964</v>
      </c>
      <c r="AW160" s="312">
        <f t="shared" si="59"/>
        <v>243.55204397868667</v>
      </c>
      <c r="AX160" s="312">
        <f t="shared" si="59"/>
        <v>265.42042011689711</v>
      </c>
      <c r="AY160" s="312">
        <f t="shared" si="59"/>
        <v>287.53602817754154</v>
      </c>
      <c r="AZ160" s="312">
        <f t="shared" si="59"/>
        <v>309.90003015065543</v>
      </c>
      <c r="BA160" s="312">
        <f t="shared" si="59"/>
        <v>332.5135934876273</v>
      </c>
      <c r="BB160" s="312">
        <f t="shared" si="59"/>
        <v>355.37789112686738</v>
      </c>
      <c r="BC160" s="312">
        <f t="shared" si="59"/>
        <v>378.49410151959626</v>
      </c>
    </row>
    <row r="161" spans="1:58" s="309" customFormat="1" ht="16.899999999999999" customHeight="1" outlineLevel="1" x14ac:dyDescent="0.25">
      <c r="B161" s="309" t="s">
        <v>416</v>
      </c>
      <c r="C161" s="310">
        <f t="shared" ref="C161:AH161" si="60">C156/(1+$C$28)^C32</f>
        <v>-105.84375492912827</v>
      </c>
      <c r="D161" s="310">
        <f t="shared" si="60"/>
        <v>-241.44727053737873</v>
      </c>
      <c r="E161" s="310">
        <f t="shared" si="60"/>
        <v>-139.15370852502463</v>
      </c>
      <c r="F161" s="310">
        <f t="shared" si="60"/>
        <v>10.015901676252675</v>
      </c>
      <c r="G161" s="310">
        <f t="shared" si="60"/>
        <v>9.2791355838380536</v>
      </c>
      <c r="H161" s="310">
        <f t="shared" si="60"/>
        <v>8.5949048424382877</v>
      </c>
      <c r="I161" s="310">
        <f t="shared" si="60"/>
        <v>7.9596326836638847</v>
      </c>
      <c r="J161" s="310">
        <f t="shared" si="60"/>
        <v>7.369968057417573</v>
      </c>
      <c r="K161" s="310">
        <f t="shared" si="60"/>
        <v>6.822773347595529</v>
      </c>
      <c r="L161" s="310">
        <f t="shared" si="60"/>
        <v>6.3151125234757082</v>
      </c>
      <c r="M161" s="310">
        <f t="shared" si="60"/>
        <v>5.8442397434200775</v>
      </c>
      <c r="N161" s="310">
        <f t="shared" si="60"/>
        <v>5.4075884213707948</v>
      </c>
      <c r="O161" s="310">
        <f t="shared" si="60"/>
        <v>5.0027607614140441</v>
      </c>
      <c r="P161" s="310">
        <f t="shared" si="60"/>
        <v>4.6275177613015623</v>
      </c>
      <c r="Q161" s="310">
        <f t="shared" si="60"/>
        <v>4.2797696821568172</v>
      </c>
      <c r="R161" s="310">
        <f t="shared" si="60"/>
        <v>3.9575669785569527</v>
      </c>
      <c r="S161" s="310">
        <f t="shared" si="60"/>
        <v>3.6590916806928138</v>
      </c>
      <c r="T161" s="310">
        <f t="shared" si="60"/>
        <v>3.3826492182952022</v>
      </c>
      <c r="U161" s="310">
        <f t="shared" si="60"/>
        <v>3.1266606744122774</v>
      </c>
      <c r="V161" s="310">
        <f t="shared" si="60"/>
        <v>2.8896554558751038</v>
      </c>
      <c r="W161" s="310">
        <f t="shared" si="60"/>
        <v>2.6702643663456547</v>
      </c>
      <c r="X161" s="310">
        <f t="shared" si="60"/>
        <v>2.4672130671611616</v>
      </c>
      <c r="Y161" s="310">
        <f t="shared" si="60"/>
        <v>2.2793159107315795</v>
      </c>
      <c r="Z161" s="310">
        <f t="shared" si="60"/>
        <v>2.1054701309801853</v>
      </c>
      <c r="AA161" s="310">
        <f t="shared" si="60"/>
        <v>1.9446503752108502</v>
      </c>
      <c r="AB161" s="310">
        <f t="shared" si="60"/>
        <v>1.7959035618138304</v>
      </c>
      <c r="AC161" s="310">
        <f t="shared" si="60"/>
        <v>1.6583440483624559</v>
      </c>
      <c r="AD161" s="310">
        <f t="shared" si="60"/>
        <v>1.5311490948861102</v>
      </c>
      <c r="AE161" s="310">
        <f t="shared" si="60"/>
        <v>1.4135546074133507</v>
      </c>
      <c r="AF161" s="310">
        <f t="shared" si="60"/>
        <v>1.3048511472481641</v>
      </c>
      <c r="AG161" s="310">
        <f t="shared" si="60"/>
        <v>1.2043801918592281</v>
      </c>
      <c r="AH161" s="310">
        <f t="shared" si="60"/>
        <v>1.1115306337158204</v>
      </c>
      <c r="AI161" s="310">
        <f t="shared" ref="AI161:BC161" si="61">AI156/(1+$C$28)^AI32</f>
        <v>1.0257355038848741</v>
      </c>
      <c r="AJ161" s="310">
        <f t="shared" si="61"/>
        <v>0.94646890770389613</v>
      </c>
      <c r="AK161" s="310">
        <f t="shared" si="61"/>
        <v>0.87324316035672089</v>
      </c>
      <c r="AL161" s="310">
        <f t="shared" si="61"/>
        <v>0.80560611069779675</v>
      </c>
      <c r="AM161" s="310">
        <f t="shared" si="61"/>
        <v>0.74313864219080294</v>
      </c>
      <c r="AN161" s="310">
        <f t="shared" si="61"/>
        <v>0.68545234034476732</v>
      </c>
      <c r="AO161" s="310">
        <f t="shared" si="61"/>
        <v>0.63218731654209903</v>
      </c>
      <c r="AP161" s="310">
        <f t="shared" si="61"/>
        <v>0.58301017865522797</v>
      </c>
      <c r="AQ161" s="310">
        <f t="shared" si="61"/>
        <v>0.5376121393395642</v>
      </c>
      <c r="AR161" s="310">
        <f t="shared" si="61"/>
        <v>0.49570725336846722</v>
      </c>
      <c r="AS161" s="310">
        <f t="shared" si="61"/>
        <v>0.45703077583941093</v>
      </c>
      <c r="AT161" s="310">
        <f t="shared" si="61"/>
        <v>0.42133763352845427</v>
      </c>
      <c r="AU161" s="310">
        <f t="shared" si="61"/>
        <v>0.38840100210173784</v>
      </c>
      <c r="AV161" s="310">
        <f t="shared" si="61"/>
        <v>0.35801098230746692</v>
      </c>
      <c r="AW161" s="310">
        <f t="shared" si="61"/>
        <v>0.3299733686693842</v>
      </c>
      <c r="AX161" s="310">
        <f t="shared" si="61"/>
        <v>0.30410850458300165</v>
      </c>
      <c r="AY161" s="310">
        <f t="shared" si="61"/>
        <v>0.28025021807879841</v>
      </c>
      <c r="AZ161" s="310">
        <f t="shared" si="61"/>
        <v>0.25824483286240524</v>
      </c>
      <c r="BA161" s="310">
        <f t="shared" si="61"/>
        <v>0.23795024957069141</v>
      </c>
      <c r="BB161" s="310">
        <f t="shared" si="61"/>
        <v>0.21923509249501821</v>
      </c>
      <c r="BC161" s="310">
        <f t="shared" si="61"/>
        <v>0.20197791731909528</v>
      </c>
    </row>
    <row r="162" spans="1:58" s="309" customFormat="1" ht="16.899999999999999" customHeight="1" outlineLevel="1" x14ac:dyDescent="0.25">
      <c r="B162" s="314" t="s">
        <v>417</v>
      </c>
      <c r="C162" s="310">
        <f>C161</f>
        <v>-105.84375492912827</v>
      </c>
      <c r="D162" s="310">
        <f t="shared" ref="D162:BC162" si="62">C162+D161</f>
        <v>-347.29102546650699</v>
      </c>
      <c r="E162" s="310">
        <f t="shared" si="62"/>
        <v>-486.44473399153162</v>
      </c>
      <c r="F162" s="310">
        <f t="shared" si="62"/>
        <v>-476.42883231527895</v>
      </c>
      <c r="G162" s="310">
        <f t="shared" si="62"/>
        <v>-467.14969673144088</v>
      </c>
      <c r="H162" s="310">
        <f t="shared" si="62"/>
        <v>-458.55479188900262</v>
      </c>
      <c r="I162" s="310">
        <f t="shared" si="62"/>
        <v>-450.59515920533875</v>
      </c>
      <c r="J162" s="310">
        <f t="shared" si="62"/>
        <v>-443.22519114792118</v>
      </c>
      <c r="K162" s="310">
        <f t="shared" si="62"/>
        <v>-436.40241780032568</v>
      </c>
      <c r="L162" s="310">
        <f t="shared" si="62"/>
        <v>-430.08730527684997</v>
      </c>
      <c r="M162" s="310">
        <f t="shared" si="62"/>
        <v>-424.2430655334299</v>
      </c>
      <c r="N162" s="310">
        <f t="shared" si="62"/>
        <v>-418.8354771120591</v>
      </c>
      <c r="O162" s="310">
        <f t="shared" si="62"/>
        <v>-413.83271635064506</v>
      </c>
      <c r="P162" s="310">
        <f t="shared" si="62"/>
        <v>-409.20519858934347</v>
      </c>
      <c r="Q162" s="310">
        <f t="shared" si="62"/>
        <v>-404.92542890718664</v>
      </c>
      <c r="R162" s="310">
        <f t="shared" si="62"/>
        <v>-400.9678619286297</v>
      </c>
      <c r="S162" s="310">
        <f t="shared" si="62"/>
        <v>-397.30877024793688</v>
      </c>
      <c r="T162" s="310">
        <f t="shared" si="62"/>
        <v>-393.92612102964165</v>
      </c>
      <c r="U162" s="310">
        <f t="shared" si="62"/>
        <v>-390.79946035522937</v>
      </c>
      <c r="V162" s="310">
        <f t="shared" si="62"/>
        <v>-387.90980489935424</v>
      </c>
      <c r="W162" s="310">
        <f t="shared" si="62"/>
        <v>-385.23954053300861</v>
      </c>
      <c r="X162" s="310">
        <f t="shared" si="62"/>
        <v>-382.77232746584747</v>
      </c>
      <c r="Y162" s="310">
        <f t="shared" si="62"/>
        <v>-380.49301155511591</v>
      </c>
      <c r="Z162" s="310">
        <f t="shared" si="62"/>
        <v>-378.38754142413575</v>
      </c>
      <c r="AA162" s="310">
        <f t="shared" si="62"/>
        <v>-376.44289104892488</v>
      </c>
      <c r="AB162" s="310">
        <f t="shared" si="62"/>
        <v>-374.64698748711106</v>
      </c>
      <c r="AC162" s="310">
        <f t="shared" si="62"/>
        <v>-372.98864343874862</v>
      </c>
      <c r="AD162" s="310">
        <f t="shared" si="62"/>
        <v>-371.45749434386249</v>
      </c>
      <c r="AE162" s="310">
        <f t="shared" si="62"/>
        <v>-370.04393973644915</v>
      </c>
      <c r="AF162" s="310">
        <f t="shared" si="62"/>
        <v>-368.739088589201</v>
      </c>
      <c r="AG162" s="310">
        <f t="shared" si="62"/>
        <v>-367.53470839734177</v>
      </c>
      <c r="AH162" s="310">
        <f t="shared" si="62"/>
        <v>-366.42317776362597</v>
      </c>
      <c r="AI162" s="310">
        <f t="shared" si="62"/>
        <v>-365.39744225974113</v>
      </c>
      <c r="AJ162" s="310">
        <f t="shared" si="62"/>
        <v>-364.45097335203724</v>
      </c>
      <c r="AK162" s="310">
        <f t="shared" si="62"/>
        <v>-363.57773019168053</v>
      </c>
      <c r="AL162" s="310">
        <f t="shared" si="62"/>
        <v>-362.77212408098273</v>
      </c>
      <c r="AM162" s="310">
        <f t="shared" si="62"/>
        <v>-362.02898543879195</v>
      </c>
      <c r="AN162" s="310">
        <f t="shared" si="62"/>
        <v>-361.34353309844715</v>
      </c>
      <c r="AO162" s="310">
        <f t="shared" si="62"/>
        <v>-360.71134578190504</v>
      </c>
      <c r="AP162" s="310">
        <f t="shared" si="62"/>
        <v>-360.12833560324981</v>
      </c>
      <c r="AQ162" s="310">
        <f t="shared" si="62"/>
        <v>-359.59072346391025</v>
      </c>
      <c r="AR162" s="310">
        <f t="shared" si="62"/>
        <v>-359.09501621054176</v>
      </c>
      <c r="AS162" s="310">
        <f t="shared" si="62"/>
        <v>-358.63798543470233</v>
      </c>
      <c r="AT162" s="310">
        <f t="shared" si="62"/>
        <v>-358.21664780117385</v>
      </c>
      <c r="AU162" s="310">
        <f t="shared" si="62"/>
        <v>-357.82824679907213</v>
      </c>
      <c r="AV162" s="310">
        <f t="shared" si="62"/>
        <v>-357.47023581676467</v>
      </c>
      <c r="AW162" s="310">
        <f t="shared" si="62"/>
        <v>-357.14026244809531</v>
      </c>
      <c r="AX162" s="310">
        <f t="shared" si="62"/>
        <v>-356.83615394351233</v>
      </c>
      <c r="AY162" s="310">
        <f t="shared" si="62"/>
        <v>-356.55590372543355</v>
      </c>
      <c r="AZ162" s="310">
        <f t="shared" si="62"/>
        <v>-356.29765889257112</v>
      </c>
      <c r="BA162" s="310">
        <f t="shared" si="62"/>
        <v>-356.05970864300042</v>
      </c>
      <c r="BB162" s="310">
        <f t="shared" si="62"/>
        <v>-355.84047355050541</v>
      </c>
      <c r="BC162" s="310">
        <f t="shared" si="62"/>
        <v>-355.63849563318632</v>
      </c>
    </row>
    <row r="163" spans="1:58" s="309" customFormat="1" ht="16.899999999999999" customHeight="1" outlineLevel="1" x14ac:dyDescent="0.25">
      <c r="B163" s="314" t="s">
        <v>418</v>
      </c>
      <c r="C163" s="310">
        <f t="shared" ref="C163:AH163" si="63">C63/(1+$C$28)^C32</f>
        <v>173.56270709055957</v>
      </c>
      <c r="D163" s="310">
        <f t="shared" si="63"/>
        <v>303.45631448764988</v>
      </c>
      <c r="E163" s="310">
        <f t="shared" si="63"/>
        <v>195.93424427729914</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3.0642155479654321E-14</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1.1990408665951691E-14</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121.4938949633917</v>
      </c>
      <c r="D167" s="310">
        <f t="shared" ref="D167:BC167" si="66">D63*(1-$D$14)</f>
        <v>233.10907166312282</v>
      </c>
      <c r="E167" s="310">
        <f t="shared" si="66"/>
        <v>165.17271134962996</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121.4938949633917</v>
      </c>
      <c r="D168" s="310">
        <f t="shared" ref="D168:BC168" si="67">C173+D167</f>
        <v>354.6029666265145</v>
      </c>
      <c r="E168" s="310">
        <f t="shared" si="67"/>
        <v>519.77567797614449</v>
      </c>
      <c r="F168" s="310">
        <f t="shared" si="67"/>
        <v>519.77567797614449</v>
      </c>
      <c r="G168" s="310">
        <f t="shared" si="67"/>
        <v>493.78689407733725</v>
      </c>
      <c r="H168" s="310">
        <f t="shared" si="67"/>
        <v>467.79811017853001</v>
      </c>
      <c r="I168" s="310">
        <f t="shared" si="67"/>
        <v>441.80932627972277</v>
      </c>
      <c r="J168" s="310">
        <f t="shared" si="67"/>
        <v>415.82054238091553</v>
      </c>
      <c r="K168" s="310">
        <f t="shared" si="67"/>
        <v>389.83175848210828</v>
      </c>
      <c r="L168" s="310">
        <f t="shared" si="67"/>
        <v>363.84297458330104</v>
      </c>
      <c r="M168" s="310">
        <f t="shared" si="67"/>
        <v>337.8541906844938</v>
      </c>
      <c r="N168" s="310">
        <f t="shared" si="67"/>
        <v>311.86540678568656</v>
      </c>
      <c r="O168" s="310">
        <f t="shared" si="67"/>
        <v>285.87662288687932</v>
      </c>
      <c r="P168" s="310">
        <f t="shared" si="67"/>
        <v>259.88783898807208</v>
      </c>
      <c r="Q168" s="310">
        <f t="shared" si="67"/>
        <v>233.89905508926486</v>
      </c>
      <c r="R168" s="310">
        <f t="shared" si="67"/>
        <v>207.91027119045765</v>
      </c>
      <c r="S168" s="310">
        <f t="shared" si="67"/>
        <v>181.92148729165044</v>
      </c>
      <c r="T168" s="310">
        <f t="shared" si="67"/>
        <v>155.93270339284322</v>
      </c>
      <c r="U168" s="310">
        <f t="shared" si="67"/>
        <v>129.94391949403601</v>
      </c>
      <c r="V168" s="310">
        <f t="shared" si="67"/>
        <v>103.95513559522878</v>
      </c>
      <c r="W168" s="310">
        <f t="shared" si="67"/>
        <v>77.966351696421555</v>
      </c>
      <c r="X168" s="310">
        <f t="shared" si="67"/>
        <v>51.977567797614327</v>
      </c>
      <c r="Y168" s="310">
        <f t="shared" si="67"/>
        <v>25.988783898807103</v>
      </c>
      <c r="Z168" s="310">
        <f t="shared" si="67"/>
        <v>-1.2079226507921703E-13</v>
      </c>
      <c r="AA168" s="310">
        <f t="shared" si="67"/>
        <v>-1.2079226507921703E-13</v>
      </c>
      <c r="AB168" s="310">
        <f t="shared" si="67"/>
        <v>-1.2079226507921703E-13</v>
      </c>
      <c r="AC168" s="310">
        <f t="shared" si="67"/>
        <v>-1.2079226507921703E-13</v>
      </c>
      <c r="AD168" s="310">
        <f t="shared" si="67"/>
        <v>-1.2079226507921703E-13</v>
      </c>
      <c r="AE168" s="310">
        <f t="shared" si="67"/>
        <v>-1.2079226507921703E-13</v>
      </c>
      <c r="AF168" s="310">
        <f t="shared" si="67"/>
        <v>-1.2079226507921703E-13</v>
      </c>
      <c r="AG168" s="310">
        <f t="shared" si="67"/>
        <v>-1.2079226507921703E-13</v>
      </c>
      <c r="AH168" s="310">
        <f t="shared" si="67"/>
        <v>-1.2079226507921703E-13</v>
      </c>
      <c r="AI168" s="310">
        <f t="shared" si="67"/>
        <v>-1.2079226507921703E-13</v>
      </c>
      <c r="AJ168" s="310">
        <f t="shared" si="67"/>
        <v>-1.2079226507921703E-13</v>
      </c>
      <c r="AK168" s="310">
        <f t="shared" si="67"/>
        <v>-1.2079226507921703E-13</v>
      </c>
      <c r="AL168" s="310">
        <f t="shared" si="67"/>
        <v>-1.2079226507921703E-13</v>
      </c>
      <c r="AM168" s="310">
        <f t="shared" si="67"/>
        <v>-1.2079226507921703E-13</v>
      </c>
      <c r="AN168" s="310">
        <f t="shared" si="67"/>
        <v>-1.2079226507921703E-13</v>
      </c>
      <c r="AO168" s="310">
        <f t="shared" si="67"/>
        <v>-1.2079226507921703E-13</v>
      </c>
      <c r="AP168" s="310">
        <f t="shared" si="67"/>
        <v>-1.2079226507921703E-13</v>
      </c>
      <c r="AQ168" s="310">
        <f t="shared" si="67"/>
        <v>-1.2079226507921703E-13</v>
      </c>
      <c r="AR168" s="310">
        <f t="shared" si="67"/>
        <v>-1.2079226507921703E-13</v>
      </c>
      <c r="AS168" s="310">
        <f t="shared" si="67"/>
        <v>-1.2079226507921703E-13</v>
      </c>
      <c r="AT168" s="310">
        <f t="shared" si="67"/>
        <v>-1.2079226507921703E-13</v>
      </c>
      <c r="AU168" s="310">
        <f t="shared" si="67"/>
        <v>-1.2079226507921703E-13</v>
      </c>
      <c r="AV168" s="310">
        <f t="shared" si="67"/>
        <v>-1.2079226507921703E-13</v>
      </c>
      <c r="AW168" s="310">
        <f t="shared" si="67"/>
        <v>-1.2079226507921703E-13</v>
      </c>
      <c r="AX168" s="310">
        <f t="shared" si="67"/>
        <v>-1.2079226507921703E-13</v>
      </c>
      <c r="AY168" s="310">
        <f t="shared" si="67"/>
        <v>-1.2079226507921703E-13</v>
      </c>
      <c r="AZ168" s="310">
        <f t="shared" si="67"/>
        <v>-1.2079226507921703E-13</v>
      </c>
      <c r="BA168" s="310">
        <f t="shared" si="67"/>
        <v>-1.2079226507921703E-13</v>
      </c>
      <c r="BB168" s="310">
        <f t="shared" si="67"/>
        <v>-1.2079226507921703E-13</v>
      </c>
      <c r="BC168" s="310">
        <f t="shared" si="67"/>
        <v>-1.2079226507921703E-13</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-25.988783898807224</v>
      </c>
      <c r="G171" s="310">
        <f t="shared" si="70"/>
        <v>-25.988783898807224</v>
      </c>
      <c r="H171" s="310">
        <f t="shared" si="70"/>
        <v>-25.988783898807224</v>
      </c>
      <c r="I171" s="310">
        <f t="shared" si="70"/>
        <v>-25.988783898807224</v>
      </c>
      <c r="J171" s="310">
        <f t="shared" si="70"/>
        <v>-25.988783898807224</v>
      </c>
      <c r="K171" s="310">
        <f t="shared" si="70"/>
        <v>-25.988783898807224</v>
      </c>
      <c r="L171" s="310">
        <f t="shared" si="70"/>
        <v>-25.988783898807224</v>
      </c>
      <c r="M171" s="310">
        <f t="shared" si="70"/>
        <v>-25.988783898807224</v>
      </c>
      <c r="N171" s="310">
        <f t="shared" si="70"/>
        <v>-25.988783898807224</v>
      </c>
      <c r="O171" s="310">
        <f t="shared" si="70"/>
        <v>-25.988783898807224</v>
      </c>
      <c r="P171" s="310">
        <f t="shared" si="70"/>
        <v>-25.988783898807224</v>
      </c>
      <c r="Q171" s="310">
        <f t="shared" si="70"/>
        <v>-25.988783898807224</v>
      </c>
      <c r="R171" s="310">
        <f t="shared" si="70"/>
        <v>-25.988783898807224</v>
      </c>
      <c r="S171" s="310">
        <f t="shared" si="70"/>
        <v>-25.988783898807224</v>
      </c>
      <c r="T171" s="310">
        <f t="shared" si="70"/>
        <v>-25.988783898807224</v>
      </c>
      <c r="U171" s="310">
        <f t="shared" si="70"/>
        <v>-25.988783898807224</v>
      </c>
      <c r="V171" s="310">
        <f t="shared" si="70"/>
        <v>-25.988783898807224</v>
      </c>
      <c r="W171" s="310">
        <f t="shared" si="70"/>
        <v>-25.988783898807224</v>
      </c>
      <c r="X171" s="310">
        <f t="shared" si="70"/>
        <v>-25.988783898807224</v>
      </c>
      <c r="Y171" s="310">
        <f t="shared" si="70"/>
        <v>-25.988783898807224</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-5.2849844309075387</v>
      </c>
      <c r="E172" s="310">
        <f t="shared" si="72"/>
        <v>-15.42522904825338</v>
      </c>
      <c r="F172" s="310">
        <f t="shared" si="72"/>
        <v>-25.988783898807228</v>
      </c>
      <c r="G172" s="310">
        <f t="shared" si="72"/>
        <v>-24.689344703866865</v>
      </c>
      <c r="H172" s="310">
        <f t="shared" si="72"/>
        <v>-23.389905508926503</v>
      </c>
      <c r="I172" s="310">
        <f t="shared" si="72"/>
        <v>-22.090466313986141</v>
      </c>
      <c r="J172" s="310">
        <f t="shared" si="72"/>
        <v>-20.791027119045779</v>
      </c>
      <c r="K172" s="310">
        <f t="shared" si="72"/>
        <v>-19.491587924105417</v>
      </c>
      <c r="L172" s="310">
        <f t="shared" si="72"/>
        <v>-18.192148729165051</v>
      </c>
      <c r="M172" s="310">
        <f t="shared" si="72"/>
        <v>-16.892709534224689</v>
      </c>
      <c r="N172" s="310">
        <f t="shared" si="72"/>
        <v>-15.593270339284329</v>
      </c>
      <c r="O172" s="310">
        <f t="shared" si="72"/>
        <v>-14.293831144343967</v>
      </c>
      <c r="P172" s="310">
        <f t="shared" si="72"/>
        <v>-12.994391949403605</v>
      </c>
      <c r="Q172" s="310">
        <f t="shared" si="72"/>
        <v>-11.694952754463245</v>
      </c>
      <c r="R172" s="310">
        <f t="shared" si="72"/>
        <v>-10.395513559522882</v>
      </c>
      <c r="S172" s="310">
        <f t="shared" si="72"/>
        <v>-9.0960743645825222</v>
      </c>
      <c r="T172" s="310">
        <f t="shared" si="72"/>
        <v>-7.7966351696421619</v>
      </c>
      <c r="U172" s="310">
        <f t="shared" si="72"/>
        <v>-6.4971959747018007</v>
      </c>
      <c r="V172" s="310">
        <f t="shared" si="72"/>
        <v>-5.1977567797614395</v>
      </c>
      <c r="W172" s="310">
        <f t="shared" si="72"/>
        <v>-3.8983175848210778</v>
      </c>
      <c r="X172" s="310">
        <f t="shared" si="72"/>
        <v>-2.5988783898807166</v>
      </c>
      <c r="Y172" s="310">
        <f t="shared" si="72"/>
        <v>-1.2994391949403552</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121.4938949633917</v>
      </c>
      <c r="D173" s="310">
        <f t="shared" ref="D173:BC173" si="74">D168+D171</f>
        <v>354.6029666265145</v>
      </c>
      <c r="E173" s="310">
        <f t="shared" si="74"/>
        <v>519.77567797614449</v>
      </c>
      <c r="F173" s="310">
        <f t="shared" si="74"/>
        <v>493.78689407733725</v>
      </c>
      <c r="G173" s="310">
        <f t="shared" si="74"/>
        <v>467.79811017853001</v>
      </c>
      <c r="H173" s="310">
        <f t="shared" si="74"/>
        <v>441.80932627972277</v>
      </c>
      <c r="I173" s="310">
        <f t="shared" si="74"/>
        <v>415.82054238091553</v>
      </c>
      <c r="J173" s="310">
        <f t="shared" si="74"/>
        <v>389.83175848210828</v>
      </c>
      <c r="K173" s="310">
        <f t="shared" si="74"/>
        <v>363.84297458330104</v>
      </c>
      <c r="L173" s="310">
        <f t="shared" si="74"/>
        <v>337.8541906844938</v>
      </c>
      <c r="M173" s="310">
        <f t="shared" si="74"/>
        <v>311.86540678568656</v>
      </c>
      <c r="N173" s="310">
        <f t="shared" si="74"/>
        <v>285.87662288687932</v>
      </c>
      <c r="O173" s="310">
        <f t="shared" si="74"/>
        <v>259.88783898807208</v>
      </c>
      <c r="P173" s="310">
        <f t="shared" si="74"/>
        <v>233.89905508926486</v>
      </c>
      <c r="Q173" s="310">
        <f t="shared" si="74"/>
        <v>207.91027119045765</v>
      </c>
      <c r="R173" s="310">
        <f t="shared" si="74"/>
        <v>181.92148729165044</v>
      </c>
      <c r="S173" s="310">
        <f t="shared" si="74"/>
        <v>155.93270339284322</v>
      </c>
      <c r="T173" s="310">
        <f t="shared" si="74"/>
        <v>129.94391949403601</v>
      </c>
      <c r="U173" s="310">
        <f t="shared" si="74"/>
        <v>103.95513559522878</v>
      </c>
      <c r="V173" s="310">
        <f t="shared" si="74"/>
        <v>77.966351696421555</v>
      </c>
      <c r="W173" s="310">
        <f t="shared" si="74"/>
        <v>51.977567797614327</v>
      </c>
      <c r="X173" s="310">
        <f t="shared" si="74"/>
        <v>25.988783898807103</v>
      </c>
      <c r="Y173" s="310">
        <f t="shared" si="74"/>
        <v>-1.2079226507921703E-13</v>
      </c>
      <c r="Z173" s="310">
        <f t="shared" si="74"/>
        <v>-1.2079226507921703E-13</v>
      </c>
      <c r="AA173" s="310">
        <f t="shared" si="74"/>
        <v>-1.2079226507921703E-13</v>
      </c>
      <c r="AB173" s="310">
        <f t="shared" si="74"/>
        <v>-1.2079226507921703E-13</v>
      </c>
      <c r="AC173" s="310">
        <f t="shared" si="74"/>
        <v>-1.2079226507921703E-13</v>
      </c>
      <c r="AD173" s="310">
        <f t="shared" si="74"/>
        <v>-1.2079226507921703E-13</v>
      </c>
      <c r="AE173" s="310">
        <f t="shared" si="74"/>
        <v>-1.2079226507921703E-13</v>
      </c>
      <c r="AF173" s="310">
        <f t="shared" si="74"/>
        <v>-1.2079226507921703E-13</v>
      </c>
      <c r="AG173" s="310">
        <f t="shared" si="74"/>
        <v>-1.2079226507921703E-13</v>
      </c>
      <c r="AH173" s="310">
        <f t="shared" si="74"/>
        <v>-1.2079226507921703E-13</v>
      </c>
      <c r="AI173" s="310">
        <f t="shared" si="74"/>
        <v>-1.2079226507921703E-13</v>
      </c>
      <c r="AJ173" s="310">
        <f t="shared" si="74"/>
        <v>-1.2079226507921703E-13</v>
      </c>
      <c r="AK173" s="310">
        <f t="shared" si="74"/>
        <v>-1.2079226507921703E-13</v>
      </c>
      <c r="AL173" s="310">
        <f t="shared" si="74"/>
        <v>-1.2079226507921703E-13</v>
      </c>
      <c r="AM173" s="310">
        <f t="shared" si="74"/>
        <v>-1.2079226507921703E-13</v>
      </c>
      <c r="AN173" s="310">
        <f t="shared" si="74"/>
        <v>-1.2079226507921703E-13</v>
      </c>
      <c r="AO173" s="310">
        <f t="shared" si="74"/>
        <v>-1.2079226507921703E-13</v>
      </c>
      <c r="AP173" s="310">
        <f t="shared" si="74"/>
        <v>-1.2079226507921703E-13</v>
      </c>
      <c r="AQ173" s="310">
        <f t="shared" si="74"/>
        <v>-1.2079226507921703E-13</v>
      </c>
      <c r="AR173" s="310">
        <f t="shared" si="74"/>
        <v>-1.2079226507921703E-13</v>
      </c>
      <c r="AS173" s="310">
        <f t="shared" si="74"/>
        <v>-1.2079226507921703E-13</v>
      </c>
      <c r="AT173" s="310">
        <f t="shared" si="74"/>
        <v>-1.2079226507921703E-13</v>
      </c>
      <c r="AU173" s="310">
        <f t="shared" si="74"/>
        <v>-1.2079226507921703E-13</v>
      </c>
      <c r="AV173" s="310">
        <f t="shared" si="74"/>
        <v>-1.2079226507921703E-13</v>
      </c>
      <c r="AW173" s="310">
        <f t="shared" si="74"/>
        <v>-1.2079226507921703E-13</v>
      </c>
      <c r="AX173" s="310">
        <f t="shared" si="74"/>
        <v>-1.2079226507921703E-13</v>
      </c>
      <c r="AY173" s="310">
        <f t="shared" si="74"/>
        <v>-1.2079226507921703E-13</v>
      </c>
      <c r="AZ173" s="310">
        <f t="shared" si="74"/>
        <v>-1.2079226507921703E-13</v>
      </c>
      <c r="BA173" s="310">
        <f t="shared" si="74"/>
        <v>-1.2079226507921703E-13</v>
      </c>
      <c r="BB173" s="310">
        <f t="shared" si="74"/>
        <v>-1.2079226507921703E-13</v>
      </c>
      <c r="BC173" s="310">
        <f t="shared" si="74"/>
        <v>-1.2079226507921703E-13</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23.38711371182734</v>
      </c>
      <c r="D175" s="310">
        <f t="shared" ref="D175:BC175" si="75">D156+D167+D171+D172-D148+D35*$H$29*(1-0.0925-$C$10)/1000000+D149</f>
        <v>-29.36681000165564</v>
      </c>
      <c r="E175" s="310">
        <f t="shared" si="75"/>
        <v>-10.023614340328095</v>
      </c>
      <c r="F175" s="310">
        <f t="shared" si="75"/>
        <v>-30.894130948908501</v>
      </c>
      <c r="G175" s="310">
        <f t="shared" si="75"/>
        <v>-29.337079562178307</v>
      </c>
      <c r="H175" s="310">
        <f t="shared" si="75"/>
        <v>-27.7788173981467</v>
      </c>
      <c r="I175" s="310">
        <f t="shared" si="75"/>
        <v>-26.219338766160373</v>
      </c>
      <c r="J175" s="310">
        <f t="shared" si="75"/>
        <v>-24.658637948819901</v>
      </c>
      <c r="K175" s="310">
        <f t="shared" si="75"/>
        <v>-23.096709201854182</v>
      </c>
      <c r="L175" s="310">
        <f t="shared" si="75"/>
        <v>-21.533546753993914</v>
      </c>
      <c r="M175" s="310">
        <f t="shared" si="75"/>
        <v>-19.969144806844941</v>
      </c>
      <c r="N175" s="310">
        <f t="shared" si="75"/>
        <v>-18.403497534760586</v>
      </c>
      <c r="O175" s="310">
        <f t="shared" si="75"/>
        <v>-16.836599084713647</v>
      </c>
      <c r="P175" s="310">
        <f t="shared" si="75"/>
        <v>-15.268443576167755</v>
      </c>
      <c r="Q175" s="310">
        <f t="shared" si="75"/>
        <v>-13.699025100947859</v>
      </c>
      <c r="R175" s="310">
        <f t="shared" si="75"/>
        <v>-12.128337723110667</v>
      </c>
      <c r="S175" s="310">
        <f t="shared" si="75"/>
        <v>-10.556375478813877</v>
      </c>
      <c r="T175" s="310">
        <f t="shared" si="75"/>
        <v>-8.9831323761850861</v>
      </c>
      <c r="U175" s="310">
        <f t="shared" si="75"/>
        <v>-7.4086023951901758</v>
      </c>
      <c r="V175" s="310">
        <f t="shared" si="75"/>
        <v>-5.8327794875008045</v>
      </c>
      <c r="W175" s="310">
        <f t="shared" si="75"/>
        <v>-4.2556575763615143</v>
      </c>
      <c r="X175" s="310">
        <f t="shared" si="75"/>
        <v>-2.6772305564560925</v>
      </c>
      <c r="Y175" s="310">
        <f t="shared" si="75"/>
        <v>-1.0974922937733331</v>
      </c>
      <c r="Z175" s="310">
        <f t="shared" si="75"/>
        <v>26.472347273335039</v>
      </c>
      <c r="AA175" s="310">
        <f t="shared" si="75"/>
        <v>26.755287344120621</v>
      </c>
      <c r="AB175" s="310">
        <f t="shared" si="75"/>
        <v>27.039557233238906</v>
      </c>
      <c r="AC175" s="310">
        <f t="shared" si="75"/>
        <v>27.325163190836037</v>
      </c>
      <c r="AD175" s="310">
        <f t="shared" si="75"/>
        <v>27.612111496433887</v>
      </c>
      <c r="AE175" s="310">
        <f t="shared" si="75"/>
        <v>27.900408459068025</v>
      </c>
      <c r="AF175" s="310">
        <f t="shared" si="75"/>
        <v>28.190060417426547</v>
      </c>
      <c r="AG175" s="310">
        <f t="shared" si="75"/>
        <v>28.481073739989377</v>
      </c>
      <c r="AH175" s="310">
        <f t="shared" si="75"/>
        <v>28.773454825168248</v>
      </c>
      <c r="AI175" s="310">
        <f t="shared" si="75"/>
        <v>29.067210101447444</v>
      </c>
      <c r="AJ175" s="310">
        <f t="shared" si="75"/>
        <v>29.362346027525163</v>
      </c>
      <c r="AK175" s="310">
        <f t="shared" si="75"/>
        <v>29.65886909245544</v>
      </c>
      <c r="AL175" s="310">
        <f t="shared" si="75"/>
        <v>29.956785815790891</v>
      </c>
      <c r="AM175" s="310">
        <f t="shared" si="75"/>
        <v>30.256102747726032</v>
      </c>
      <c r="AN175" s="310">
        <f t="shared" si="75"/>
        <v>30.556826469241276</v>
      </c>
      <c r="AO175" s="310">
        <f t="shared" si="75"/>
        <v>30.858963592247616</v>
      </c>
      <c r="AP175" s="310">
        <f t="shared" si="75"/>
        <v>31.162520759732086</v>
      </c>
      <c r="AQ175" s="310">
        <f t="shared" si="75"/>
        <v>31.467504645903727</v>
      </c>
      <c r="AR175" s="310">
        <f t="shared" si="75"/>
        <v>31.773921956340388</v>
      </c>
      <c r="AS175" s="310">
        <f t="shared" si="75"/>
        <v>32.081779428136116</v>
      </c>
      <c r="AT175" s="310">
        <f t="shared" si="75"/>
        <v>32.391083830049261</v>
      </c>
      <c r="AU175" s="310">
        <f t="shared" si="75"/>
        <v>32.701841962651415</v>
      </c>
      <c r="AV175" s="310">
        <f t="shared" si="75"/>
        <v>33.014060658476787</v>
      </c>
      <c r="AW175" s="310">
        <f t="shared" si="75"/>
        <v>33.327746782172547</v>
      </c>
      <c r="AX175" s="310">
        <f t="shared" si="75"/>
        <v>33.642907230649669</v>
      </c>
      <c r="AY175" s="310">
        <f t="shared" si="75"/>
        <v>33.959548933234643</v>
      </c>
      <c r="AZ175" s="310">
        <f t="shared" si="75"/>
        <v>34.277678851821754</v>
      </c>
      <c r="BA175" s="310">
        <f t="shared" si="75"/>
        <v>34.597303981026222</v>
      </c>
      <c r="BB175" s="310">
        <f t="shared" si="75"/>
        <v>34.918431348337968</v>
      </c>
      <c r="BC175" s="310">
        <f t="shared" si="75"/>
        <v>35.241068014276067</v>
      </c>
    </row>
    <row r="176" spans="1:58" s="309" customFormat="1" ht="16.899999999999999" customHeight="1" outlineLevel="1" x14ac:dyDescent="0.25">
      <c r="B176" s="309" t="s">
        <v>471</v>
      </c>
      <c r="C176" s="310">
        <f>C175</f>
        <v>23.38711371182734</v>
      </c>
      <c r="D176" s="310">
        <f t="shared" ref="D176:BC176" si="76">C176+D175</f>
        <v>-5.9796962898283006</v>
      </c>
      <c r="E176" s="310">
        <f t="shared" si="76"/>
        <v>-16.003310630156395</v>
      </c>
      <c r="F176" s="310">
        <f t="shared" si="76"/>
        <v>-46.897441579064896</v>
      </c>
      <c r="G176" s="310">
        <f t="shared" si="76"/>
        <v>-76.234521141243206</v>
      </c>
      <c r="H176" s="310">
        <f t="shared" si="76"/>
        <v>-104.01333853938991</v>
      </c>
      <c r="I176" s="310">
        <f t="shared" si="76"/>
        <v>-130.23267730555028</v>
      </c>
      <c r="J176" s="310">
        <f t="shared" si="76"/>
        <v>-154.89131525437017</v>
      </c>
      <c r="K176" s="310">
        <f t="shared" si="76"/>
        <v>-177.98802445622437</v>
      </c>
      <c r="L176" s="310">
        <f t="shared" si="76"/>
        <v>-199.52157121021827</v>
      </c>
      <c r="M176" s="310">
        <f t="shared" si="76"/>
        <v>-219.49071601706322</v>
      </c>
      <c r="N176" s="310">
        <f t="shared" si="76"/>
        <v>-237.89421355182381</v>
      </c>
      <c r="O176" s="310">
        <f t="shared" si="76"/>
        <v>-254.73081263653745</v>
      </c>
      <c r="P176" s="310">
        <f t="shared" si="76"/>
        <v>-269.99925621270518</v>
      </c>
      <c r="Q176" s="310">
        <f t="shared" si="76"/>
        <v>-283.69828131365301</v>
      </c>
      <c r="R176" s="310">
        <f t="shared" si="76"/>
        <v>-295.8266190367637</v>
      </c>
      <c r="S176" s="310">
        <f t="shared" si="76"/>
        <v>-306.38299451557759</v>
      </c>
      <c r="T176" s="310">
        <f t="shared" si="76"/>
        <v>-315.36612689176269</v>
      </c>
      <c r="U176" s="310">
        <f t="shared" si="76"/>
        <v>-322.77472928695289</v>
      </c>
      <c r="V176" s="310">
        <f t="shared" si="76"/>
        <v>-328.60750877445372</v>
      </c>
      <c r="W176" s="310">
        <f t="shared" si="76"/>
        <v>-332.86316635081522</v>
      </c>
      <c r="X176" s="310">
        <f t="shared" si="76"/>
        <v>-335.54039690727132</v>
      </c>
      <c r="Y176" s="310">
        <f t="shared" si="76"/>
        <v>-336.63788920104463</v>
      </c>
      <c r="Z176" s="310">
        <f t="shared" si="76"/>
        <v>-310.16554192770957</v>
      </c>
      <c r="AA176" s="310">
        <f t="shared" si="76"/>
        <v>-283.41025458358894</v>
      </c>
      <c r="AB176" s="310">
        <f t="shared" si="76"/>
        <v>-256.37069735035004</v>
      </c>
      <c r="AC176" s="310">
        <f t="shared" si="76"/>
        <v>-229.04553415951401</v>
      </c>
      <c r="AD176" s="310">
        <f t="shared" si="76"/>
        <v>-201.43342266308011</v>
      </c>
      <c r="AE176" s="310">
        <f t="shared" si="76"/>
        <v>-173.53301420401209</v>
      </c>
      <c r="AF176" s="310">
        <f t="shared" si="76"/>
        <v>-145.34295378658555</v>
      </c>
      <c r="AG176" s="310">
        <f t="shared" si="76"/>
        <v>-116.86188004659618</v>
      </c>
      <c r="AH176" s="310">
        <f t="shared" si="76"/>
        <v>-88.08842522142794</v>
      </c>
      <c r="AI176" s="310">
        <f t="shared" si="76"/>
        <v>-59.021215119980496</v>
      </c>
      <c r="AJ176" s="310">
        <f t="shared" si="76"/>
        <v>-29.658869092455333</v>
      </c>
      <c r="AK176" s="310">
        <f t="shared" si="76"/>
        <v>1.0658141036401503E-13</v>
      </c>
      <c r="AL176" s="310">
        <f t="shared" si="76"/>
        <v>29.956785815790997</v>
      </c>
      <c r="AM176" s="310">
        <f t="shared" si="76"/>
        <v>60.212888563517026</v>
      </c>
      <c r="AN176" s="310">
        <f t="shared" si="76"/>
        <v>90.769715032758299</v>
      </c>
      <c r="AO176" s="310">
        <f t="shared" si="76"/>
        <v>121.62867862500592</v>
      </c>
      <c r="AP176" s="310">
        <f t="shared" si="76"/>
        <v>152.79119938473801</v>
      </c>
      <c r="AQ176" s="310">
        <f t="shared" si="76"/>
        <v>184.25870403064172</v>
      </c>
      <c r="AR176" s="310">
        <f t="shared" si="76"/>
        <v>216.03262598698211</v>
      </c>
      <c r="AS176" s="310">
        <f t="shared" si="76"/>
        <v>248.11440541511823</v>
      </c>
      <c r="AT176" s="310">
        <f t="shared" si="76"/>
        <v>280.5054892451675</v>
      </c>
      <c r="AU176" s="310">
        <f t="shared" si="76"/>
        <v>313.20733120781892</v>
      </c>
      <c r="AV176" s="310">
        <f t="shared" si="76"/>
        <v>346.22139186629573</v>
      </c>
      <c r="AW176" s="310">
        <f t="shared" si="76"/>
        <v>379.54913864846827</v>
      </c>
      <c r="AX176" s="310">
        <f t="shared" si="76"/>
        <v>413.19204587911793</v>
      </c>
      <c r="AY176" s="310">
        <f t="shared" si="76"/>
        <v>447.15159481235258</v>
      </c>
      <c r="AZ176" s="310">
        <f t="shared" si="76"/>
        <v>481.42927366417433</v>
      </c>
      <c r="BA176" s="310">
        <f t="shared" si="76"/>
        <v>516.02657764520052</v>
      </c>
      <c r="BB176" s="310">
        <f t="shared" si="76"/>
        <v>550.94500899353852</v>
      </c>
      <c r="BC176" s="310">
        <f t="shared" si="76"/>
        <v>586.18607700781456</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22.050833218769885</v>
      </c>
      <c r="D178" s="312">
        <f t="shared" ref="D178:BC178" si="77">NPV($D$28,D175)</f>
        <v>-27.688864795074146</v>
      </c>
      <c r="E178" s="312">
        <f t="shared" si="77"/>
        <v>-9.4508903831115365</v>
      </c>
      <c r="F178" s="312">
        <f t="shared" si="77"/>
        <v>-29.128918488505093</v>
      </c>
      <c r="G178" s="312">
        <f t="shared" si="77"/>
        <v>-27.66083307767142</v>
      </c>
      <c r="H178" s="312">
        <f t="shared" si="77"/>
        <v>-26.191606070287289</v>
      </c>
      <c r="I178" s="312">
        <f t="shared" si="77"/>
        <v>-24.72123210084893</v>
      </c>
      <c r="J178" s="312">
        <f t="shared" si="77"/>
        <v>-23.249705778634642</v>
      </c>
      <c r="K178" s="312">
        <f t="shared" si="77"/>
        <v>-21.777021687586444</v>
      </c>
      <c r="L178" s="312">
        <f t="shared" si="77"/>
        <v>-20.303174386190754</v>
      </c>
      <c r="M178" s="312">
        <f t="shared" si="77"/>
        <v>-18.828158407358988</v>
      </c>
      <c r="N178" s="312">
        <f t="shared" si="77"/>
        <v>-17.351968258307171</v>
      </c>
      <c r="O178" s="312">
        <f t="shared" si="77"/>
        <v>-15.874598420435269</v>
      </c>
      <c r="P178" s="312">
        <f t="shared" si="77"/>
        <v>-14.396043349205879</v>
      </c>
      <c r="Q178" s="312">
        <f t="shared" si="77"/>
        <v>-12.916297474022118</v>
      </c>
      <c r="R178" s="312">
        <f t="shared" si="77"/>
        <v>-11.435355198105475</v>
      </c>
      <c r="S178" s="312">
        <f t="shared" si="77"/>
        <v>-9.9532108983725038</v>
      </c>
      <c r="T178" s="312">
        <f t="shared" si="77"/>
        <v>-8.4698589253112253</v>
      </c>
      <c r="U178" s="312">
        <f t="shared" si="77"/>
        <v>-6.9852936028570394</v>
      </c>
      <c r="V178" s="312">
        <f t="shared" si="77"/>
        <v>-5.4995092282677769</v>
      </c>
      <c r="W178" s="312">
        <f t="shared" si="77"/>
        <v>-4.012500071998411</v>
      </c>
      <c r="X178" s="312">
        <f t="shared" si="77"/>
        <v>-2.524260377575045</v>
      </c>
      <c r="Y178" s="312">
        <f t="shared" si="77"/>
        <v>-1.034784361468351</v>
      </c>
      <c r="Z178" s="312">
        <f t="shared" si="77"/>
        <v>24.95978434219785</v>
      </c>
      <c r="AA178" s="312">
        <f t="shared" si="77"/>
        <v>25.226557933359061</v>
      </c>
      <c r="AB178" s="312">
        <f t="shared" si="77"/>
        <v>25.494585360398741</v>
      </c>
      <c r="AC178" s="312">
        <f t="shared" si="77"/>
        <v>25.763872516345501</v>
      </c>
      <c r="AD178" s="312">
        <f t="shared" si="77"/>
        <v>26.03442532192522</v>
      </c>
      <c r="AE178" s="312">
        <f t="shared" si="77"/>
        <v>26.306249725691142</v>
      </c>
      <c r="AF178" s="312">
        <f t="shared" si="77"/>
        <v>26.579351704154767</v>
      </c>
      <c r="AG178" s="312">
        <f t="shared" si="77"/>
        <v>26.853737261917196</v>
      </c>
      <c r="AH178" s="312">
        <f t="shared" si="77"/>
        <v>27.1294124318011</v>
      </c>
      <c r="AI178" s="312">
        <f t="shared" si="77"/>
        <v>27.406383274983448</v>
      </c>
      <c r="AJ178" s="312">
        <f t="shared" si="77"/>
        <v>27.684655881128762</v>
      </c>
      <c r="AK178" s="312">
        <f t="shared" si="77"/>
        <v>27.96423636852295</v>
      </c>
      <c r="AL178" s="312">
        <f t="shared" si="77"/>
        <v>28.245130884207892</v>
      </c>
      <c r="AM178" s="312">
        <f t="shared" si="77"/>
        <v>28.527345604116569</v>
      </c>
      <c r="AN178" s="312">
        <f t="shared" si="77"/>
        <v>28.810886733208822</v>
      </c>
      <c r="AO178" s="312">
        <f t="shared" si="77"/>
        <v>29.095760505607785</v>
      </c>
      <c r="AP178" s="312">
        <f t="shared" si="77"/>
        <v>29.381973184737024</v>
      </c>
      <c r="AQ178" s="312">
        <f t="shared" si="77"/>
        <v>29.669531063458162</v>
      </c>
      <c r="AR178" s="312">
        <f t="shared" si="77"/>
        <v>29.958440464209303</v>
      </c>
      <c r="AS178" s="312">
        <f t="shared" si="77"/>
        <v>30.248707739143992</v>
      </c>
      <c r="AT178" s="312">
        <f t="shared" si="77"/>
        <v>30.540339270270849</v>
      </c>
      <c r="AU178" s="312">
        <f t="shared" si="77"/>
        <v>30.833341469594018</v>
      </c>
      <c r="AV178" s="312">
        <f t="shared" si="77"/>
        <v>31.127720779253995</v>
      </c>
      <c r="AW178" s="312">
        <f t="shared" si="77"/>
        <v>31.423483671669384</v>
      </c>
      <c r="AX178" s="312">
        <f t="shared" si="77"/>
        <v>31.720636649679115</v>
      </c>
      <c r="AY178" s="312">
        <f t="shared" si="77"/>
        <v>32.0191862466855</v>
      </c>
      <c r="AZ178" s="312">
        <f t="shared" si="77"/>
        <v>32.319139026797806</v>
      </c>
      <c r="BA178" s="312">
        <f t="shared" si="77"/>
        <v>32.620501584976637</v>
      </c>
      <c r="BB178" s="312">
        <f t="shared" si="77"/>
        <v>32.923280547178926</v>
      </c>
      <c r="BC178" s="312">
        <f t="shared" si="77"/>
        <v>33.227482570503554</v>
      </c>
    </row>
    <row r="179" spans="2:55" s="309" customFormat="1" ht="16.899999999999999" customHeight="1" outlineLevel="1" x14ac:dyDescent="0.25">
      <c r="B179" s="313" t="s">
        <v>469</v>
      </c>
      <c r="C179" s="312">
        <f>C178</f>
        <v>22.050833218769885</v>
      </c>
      <c r="D179" s="312">
        <f t="shared" ref="D179" si="78">C179+D178</f>
        <v>-5.638031576304261</v>
      </c>
      <c r="E179" s="312">
        <f t="shared" ref="E179" si="79">D179+E178</f>
        <v>-15.088921959415798</v>
      </c>
      <c r="F179" s="312">
        <f t="shared" ref="F179" si="80">E179+F178</f>
        <v>-44.217840447920892</v>
      </c>
      <c r="G179" s="312">
        <f t="shared" ref="G179" si="81">F179+G178</f>
        <v>-71.878673525592319</v>
      </c>
      <c r="H179" s="312">
        <f t="shared" ref="H179" si="82">G179+H178</f>
        <v>-98.070279595879612</v>
      </c>
      <c r="I179" s="312">
        <f t="shared" ref="I179" si="83">H179+I178</f>
        <v>-122.79151169672855</v>
      </c>
      <c r="J179" s="312">
        <f t="shared" ref="J179" si="84">I179+J178</f>
        <v>-146.0412174753632</v>
      </c>
      <c r="K179" s="312">
        <f t="shared" ref="K179" si="85">J179+K178</f>
        <v>-167.81823916294965</v>
      </c>
      <c r="L179" s="312">
        <f t="shared" ref="L179" si="86">K179+L178</f>
        <v>-188.12141354914041</v>
      </c>
      <c r="M179" s="312">
        <f t="shared" ref="M179" si="87">L179+M178</f>
        <v>-206.9495719564994</v>
      </c>
      <c r="N179" s="312">
        <f t="shared" ref="N179" si="88">M179+N178</f>
        <v>-224.30154021480658</v>
      </c>
      <c r="O179" s="312">
        <f t="shared" ref="O179" si="89">N179+O178</f>
        <v>-240.17613863524184</v>
      </c>
      <c r="P179" s="312">
        <f t="shared" ref="P179" si="90">O179+P178</f>
        <v>-254.57218198444772</v>
      </c>
      <c r="Q179" s="312">
        <f t="shared" ref="Q179" si="91">P179+Q178</f>
        <v>-267.48847945846984</v>
      </c>
      <c r="R179" s="312">
        <f t="shared" ref="R179" si="92">Q179+R178</f>
        <v>-278.92383465657531</v>
      </c>
      <c r="S179" s="312">
        <f t="shared" ref="S179" si="93">R179+S178</f>
        <v>-288.87704555494781</v>
      </c>
      <c r="T179" s="312">
        <f t="shared" ref="T179" si="94">S179+T178</f>
        <v>-297.34690448025901</v>
      </c>
      <c r="U179" s="312">
        <f t="shared" ref="U179" si="95">T179+U178</f>
        <v>-304.33219808311605</v>
      </c>
      <c r="V179" s="312">
        <f t="shared" ref="V179" si="96">U179+V178</f>
        <v>-309.83170731138381</v>
      </c>
      <c r="W179" s="312">
        <f t="shared" ref="W179" si="97">V179+W178</f>
        <v>-313.84420738338224</v>
      </c>
      <c r="X179" s="312">
        <f t="shared" ref="X179" si="98">W179+X178</f>
        <v>-316.36846776095729</v>
      </c>
      <c r="Y179" s="312">
        <f t="shared" ref="Y179" si="99">X179+Y178</f>
        <v>-317.40325212242561</v>
      </c>
      <c r="Z179" s="312">
        <f t="shared" ref="Z179" si="100">Y179+Z178</f>
        <v>-292.44346778022776</v>
      </c>
      <c r="AA179" s="312">
        <f t="shared" ref="AA179" si="101">Z179+AA178</f>
        <v>-267.2169098468687</v>
      </c>
      <c r="AB179" s="312">
        <f t="shared" ref="AB179" si="102">AA179+AB178</f>
        <v>-241.72232448646997</v>
      </c>
      <c r="AC179" s="312">
        <f t="shared" ref="AC179" si="103">AB179+AC178</f>
        <v>-215.95845197012449</v>
      </c>
      <c r="AD179" s="312">
        <f t="shared" ref="AD179" si="104">AC179+AD178</f>
        <v>-189.92402664819926</v>
      </c>
      <c r="AE179" s="312">
        <f t="shared" ref="AE179" si="105">AD179+AE178</f>
        <v>-163.61777692250811</v>
      </c>
      <c r="AF179" s="312">
        <f t="shared" ref="AF179" si="106">AE179+AF178</f>
        <v>-137.03842521835335</v>
      </c>
      <c r="AG179" s="312">
        <f t="shared" ref="AG179" si="107">AF179+AG178</f>
        <v>-110.18468795643616</v>
      </c>
      <c r="AH179" s="312">
        <f t="shared" ref="AH179" si="108">AG179+AH178</f>
        <v>-83.055275524635064</v>
      </c>
      <c r="AI179" s="312">
        <f t="shared" ref="AI179" si="109">AH179+AI178</f>
        <v>-55.648892249651617</v>
      </c>
      <c r="AJ179" s="312">
        <f t="shared" ref="AJ179" si="110">AI179+AJ178</f>
        <v>-27.964236368522855</v>
      </c>
      <c r="AK179" s="312">
        <f t="shared" ref="AK179" si="111">AJ179+AK178</f>
        <v>9.5923269327613525E-14</v>
      </c>
      <c r="AL179" s="312">
        <f t="shared" ref="AL179" si="112">AK179+AL178</f>
        <v>28.245130884207988</v>
      </c>
      <c r="AM179" s="312">
        <f t="shared" ref="AM179" si="113">AL179+AM178</f>
        <v>56.772476488324557</v>
      </c>
      <c r="AN179" s="312">
        <f t="shared" ref="AN179" si="114">AM179+AN178</f>
        <v>85.583363221533375</v>
      </c>
      <c r="AO179" s="312">
        <f t="shared" ref="AO179" si="115">AN179+AO178</f>
        <v>114.67912372714116</v>
      </c>
      <c r="AP179" s="312">
        <f t="shared" ref="AP179" si="116">AO179+AP178</f>
        <v>144.0610969118782</v>
      </c>
      <c r="AQ179" s="312">
        <f t="shared" ref="AQ179" si="117">AP179+AQ178</f>
        <v>173.73062797533635</v>
      </c>
      <c r="AR179" s="312">
        <f t="shared" ref="AR179" si="118">AQ179+AR178</f>
        <v>203.68906843954565</v>
      </c>
      <c r="AS179" s="312">
        <f t="shared" ref="AS179" si="119">AR179+AS178</f>
        <v>233.93777617868963</v>
      </c>
      <c r="AT179" s="312">
        <f t="shared" ref="AT179" si="120">AS179+AT178</f>
        <v>264.47811544896047</v>
      </c>
      <c r="AU179" s="312">
        <f t="shared" ref="AU179" si="121">AT179+AU178</f>
        <v>295.31145691855448</v>
      </c>
      <c r="AV179" s="312">
        <f t="shared" ref="AV179" si="122">AU179+AV178</f>
        <v>326.43917769780847</v>
      </c>
      <c r="AW179" s="312">
        <f t="shared" ref="AW179" si="123">AV179+AW178</f>
        <v>357.86266136947785</v>
      </c>
      <c r="AX179" s="312">
        <f t="shared" ref="AX179" si="124">AW179+AX178</f>
        <v>389.58329801915698</v>
      </c>
      <c r="AY179" s="312">
        <f t="shared" ref="AY179" si="125">AX179+AY178</f>
        <v>421.60248426584246</v>
      </c>
      <c r="AZ179" s="312">
        <f t="shared" ref="AZ179" si="126">AY179+AZ178</f>
        <v>453.92162329264028</v>
      </c>
      <c r="BA179" s="312">
        <f t="shared" ref="BA179" si="127">AZ179+BA178</f>
        <v>486.54212487761691</v>
      </c>
      <c r="BB179" s="312">
        <f t="shared" ref="BB179" si="128">BA179+BB178</f>
        <v>519.46540542479579</v>
      </c>
      <c r="BC179" s="312">
        <f t="shared" ref="BC179" si="129">BB179+BC178</f>
        <v>552.69288799529932</v>
      </c>
    </row>
    <row r="180" spans="2:55" s="206" customFormat="1" ht="16.899999999999999" customHeight="1" outlineLevel="1" x14ac:dyDescent="0.25">
      <c r="B180" s="206" t="s">
        <v>416</v>
      </c>
      <c r="C180" s="307">
        <f>C175/(1+$D$28)^C32</f>
        <v>23.38711371182734</v>
      </c>
      <c r="D180" s="307">
        <f t="shared" ref="D180:BC180" si="130">D175/(1+$D$28)^D32</f>
        <v>-27.688864795074146</v>
      </c>
      <c r="E180" s="307">
        <f t="shared" si="130"/>
        <v>-8.9108904234504394</v>
      </c>
      <c r="F180" s="307">
        <f t="shared" si="130"/>
        <v>-25.895310014111377</v>
      </c>
      <c r="G180" s="307">
        <f t="shared" si="130"/>
        <v>-23.185175494318102</v>
      </c>
      <c r="H180" s="307">
        <f t="shared" si="130"/>
        <v>-20.699299053629751</v>
      </c>
      <c r="I180" s="307">
        <f t="shared" si="130"/>
        <v>-18.420948915694417</v>
      </c>
      <c r="J180" s="307">
        <f t="shared" si="130"/>
        <v>-16.334570687416033</v>
      </c>
      <c r="K180" s="307">
        <f t="shared" si="130"/>
        <v>-14.425707569719863</v>
      </c>
      <c r="L180" s="307">
        <f t="shared" si="130"/>
        <v>-12.680925835473639</v>
      </c>
      <c r="M180" s="307">
        <f t="shared" si="130"/>
        <v>-11.087745233515017</v>
      </c>
      <c r="N180" s="307">
        <f t="shared" si="130"/>
        <v>-9.6345739994935151</v>
      </c>
      <c r="O180" s="307">
        <f t="shared" si="130"/>
        <v>-8.3106481746224308</v>
      </c>
      <c r="P180" s="307">
        <f t="shared" si="130"/>
        <v>-7.1059749525358518</v>
      </c>
      <c r="Q180" s="307">
        <f t="shared" si="130"/>
        <v>-6.0112797923401677</v>
      </c>
      <c r="R180" s="307">
        <f t="shared" si="130"/>
        <v>-5.0179570527137161</v>
      </c>
      <c r="S180" s="307">
        <f t="shared" si="130"/>
        <v>-4.1180239176111533</v>
      </c>
      <c r="T180" s="307">
        <f t="shared" si="130"/>
        <v>-3.3040773988405889</v>
      </c>
      <c r="U180" s="307">
        <f t="shared" si="130"/>
        <v>-2.5692542145601975</v>
      </c>
      <c r="V180" s="307">
        <f t="shared" si="130"/>
        <v>-1.9071933556473422</v>
      </c>
      <c r="W180" s="307">
        <f t="shared" si="130"/>
        <v>-1.3120011639817362</v>
      </c>
      <c r="X180" s="307">
        <f t="shared" si="130"/>
        <v>-0.77821875800519025</v>
      </c>
      <c r="Y180" s="307">
        <f t="shared" si="130"/>
        <v>-0.30079165152330839</v>
      </c>
      <c r="Z180" s="307">
        <f t="shared" si="130"/>
        <v>6.8407721826845753</v>
      </c>
      <c r="AA180" s="307">
        <f t="shared" si="130"/>
        <v>6.518845268746845</v>
      </c>
      <c r="AB180" s="307">
        <f t="shared" si="130"/>
        <v>6.2116790232050612</v>
      </c>
      <c r="AC180" s="307">
        <f t="shared" si="130"/>
        <v>5.9186215619531026</v>
      </c>
      <c r="AD180" s="307">
        <f t="shared" si="130"/>
        <v>5.6390481545259519</v>
      </c>
      <c r="AE180" s="307">
        <f t="shared" si="130"/>
        <v>5.3723602045905068</v>
      </c>
      <c r="AF180" s="307">
        <f t="shared" si="130"/>
        <v>5.1179842606499895</v>
      </c>
      <c r="AG180" s="307">
        <f t="shared" si="130"/>
        <v>4.8753710567133606</v>
      </c>
      <c r="AH180" s="307">
        <f t="shared" si="130"/>
        <v>4.6439945826175881</v>
      </c>
      <c r="AI180" s="307">
        <f t="shared" si="130"/>
        <v>4.4233511836345913</v>
      </c>
      <c r="AJ180" s="307">
        <f t="shared" si="130"/>
        <v>4.2129586889458386</v>
      </c>
      <c r="AK180" s="307">
        <f t="shared" si="130"/>
        <v>4.0123555685251864</v>
      </c>
      <c r="AL180" s="307">
        <f t="shared" si="130"/>
        <v>3.8211001179341255</v>
      </c>
      <c r="AM180" s="307">
        <f t="shared" si="130"/>
        <v>3.6387696705024335</v>
      </c>
      <c r="AN180" s="307">
        <f t="shared" si="130"/>
        <v>3.4649598363411296</v>
      </c>
      <c r="AO180" s="307">
        <f t="shared" si="130"/>
        <v>3.2992837676128834</v>
      </c>
      <c r="AP180" s="307">
        <f t="shared" si="130"/>
        <v>3.1413714494673761</v>
      </c>
      <c r="AQ180" s="307">
        <f t="shared" si="130"/>
        <v>2.9908690160350879</v>
      </c>
      <c r="AR180" s="307">
        <f t="shared" si="130"/>
        <v>2.8474380908623886</v>
      </c>
      <c r="AS180" s="307">
        <f t="shared" si="130"/>
        <v>2.7107551511630525</v>
      </c>
      <c r="AT180" s="307">
        <f t="shared" si="130"/>
        <v>2.5805109152564154</v>
      </c>
      <c r="AU180" s="307">
        <f t="shared" si="130"/>
        <v>2.4564097525598183</v>
      </c>
      <c r="AV180" s="307">
        <f t="shared" si="130"/>
        <v>2.3381691155025988</v>
      </c>
      <c r="AW180" s="307">
        <f t="shared" si="130"/>
        <v>2.2255189927305206</v>
      </c>
      <c r="AX180" s="307">
        <f t="shared" si="130"/>
        <v>2.1182013829727855</v>
      </c>
      <c r="AY180" s="307">
        <f t="shared" si="130"/>
        <v>2.0159697889486679</v>
      </c>
      <c r="AZ180" s="307">
        <f t="shared" si="130"/>
        <v>1.9185887306969682</v>
      </c>
      <c r="BA180" s="307">
        <f t="shared" si="130"/>
        <v>1.8258332777189361</v>
      </c>
      <c r="BB180" s="307">
        <f t="shared" si="130"/>
        <v>1.7374885993337088</v>
      </c>
      <c r="BC180" s="307">
        <f t="shared" si="130"/>
        <v>1.6533495326546892</v>
      </c>
    </row>
    <row r="181" spans="2:55" s="206" customFormat="1" ht="16.899999999999999" customHeight="1" outlineLevel="1" x14ac:dyDescent="0.25">
      <c r="B181" s="300" t="s">
        <v>417</v>
      </c>
      <c r="C181" s="307">
        <f>C180</f>
        <v>23.38711371182734</v>
      </c>
      <c r="D181" s="312">
        <f t="shared" ref="D181" si="131">C181+D180</f>
        <v>-4.3017510832468062</v>
      </c>
      <c r="E181" s="312">
        <f t="shared" ref="E181" si="132">D181+E180</f>
        <v>-13.212641506697246</v>
      </c>
      <c r="F181" s="312">
        <f t="shared" ref="F181" si="133">E181+F180</f>
        <v>-39.107951520808626</v>
      </c>
      <c r="G181" s="312">
        <f t="shared" ref="G181" si="134">F181+G180</f>
        <v>-62.293127015126728</v>
      </c>
      <c r="H181" s="312">
        <f t="shared" ref="H181" si="135">G181+H180</f>
        <v>-82.992426068756487</v>
      </c>
      <c r="I181" s="312">
        <f t="shared" ref="I181" si="136">H181+I180</f>
        <v>-101.41337498445091</v>
      </c>
      <c r="J181" s="312">
        <f t="shared" ref="J181" si="137">I181+J180</f>
        <v>-117.74794567186694</v>
      </c>
      <c r="K181" s="312">
        <f t="shared" ref="K181" si="138">J181+K180</f>
        <v>-132.17365324158681</v>
      </c>
      <c r="L181" s="312">
        <f t="shared" ref="L181" si="139">K181+L180</f>
        <v>-144.85457907706044</v>
      </c>
      <c r="M181" s="312">
        <f t="shared" ref="M181" si="140">L181+M180</f>
        <v>-155.94232431057546</v>
      </c>
      <c r="N181" s="312">
        <f t="shared" ref="N181" si="141">M181+N180</f>
        <v>-165.57689831006897</v>
      </c>
      <c r="O181" s="312">
        <f t="shared" ref="O181" si="142">N181+O180</f>
        <v>-173.8875464846914</v>
      </c>
      <c r="P181" s="312">
        <f t="shared" ref="P181" si="143">O181+P180</f>
        <v>-180.99352143722726</v>
      </c>
      <c r="Q181" s="312">
        <f t="shared" ref="Q181" si="144">P181+Q180</f>
        <v>-187.00480122956742</v>
      </c>
      <c r="R181" s="312">
        <f t="shared" ref="R181" si="145">Q181+R180</f>
        <v>-192.02275828228113</v>
      </c>
      <c r="S181" s="312">
        <f t="shared" ref="S181" si="146">R181+S180</f>
        <v>-196.14078219989227</v>
      </c>
      <c r="T181" s="312">
        <f t="shared" ref="T181" si="147">S181+T180</f>
        <v>-199.44485959873285</v>
      </c>
      <c r="U181" s="312">
        <f t="shared" ref="U181" si="148">T181+U180</f>
        <v>-202.01411381329305</v>
      </c>
      <c r="V181" s="312">
        <f t="shared" ref="V181" si="149">U181+V180</f>
        <v>-203.92130716894039</v>
      </c>
      <c r="W181" s="312">
        <f t="shared" ref="W181" si="150">V181+W180</f>
        <v>-205.23330833292212</v>
      </c>
      <c r="X181" s="312">
        <f t="shared" ref="X181" si="151">W181+X180</f>
        <v>-206.0115270909273</v>
      </c>
      <c r="Y181" s="312">
        <f t="shared" ref="Y181" si="152">X181+Y180</f>
        <v>-206.3123187424506</v>
      </c>
      <c r="Z181" s="312">
        <f t="shared" ref="Z181" si="153">Y181+Z180</f>
        <v>-199.47154655976601</v>
      </c>
      <c r="AA181" s="312">
        <f t="shared" ref="AA181" si="154">Z181+AA180</f>
        <v>-192.95270129101917</v>
      </c>
      <c r="AB181" s="312">
        <f t="shared" ref="AB181" si="155">AA181+AB180</f>
        <v>-186.74102226781412</v>
      </c>
      <c r="AC181" s="312">
        <f t="shared" ref="AC181" si="156">AB181+AC180</f>
        <v>-180.82240070586101</v>
      </c>
      <c r="AD181" s="312">
        <f t="shared" ref="AD181" si="157">AC181+AD180</f>
        <v>-175.18335255133508</v>
      </c>
      <c r="AE181" s="312">
        <f t="shared" ref="AE181" si="158">AD181+AE180</f>
        <v>-169.81099234674457</v>
      </c>
      <c r="AF181" s="312">
        <f t="shared" ref="AF181" si="159">AE181+AF180</f>
        <v>-164.69300808609458</v>
      </c>
      <c r="AG181" s="312">
        <f t="shared" ref="AG181" si="160">AF181+AG180</f>
        <v>-159.81763702938122</v>
      </c>
      <c r="AH181" s="312">
        <f t="shared" ref="AH181" si="161">AG181+AH180</f>
        <v>-155.17364244676364</v>
      </c>
      <c r="AI181" s="312">
        <f t="shared" ref="AI181" si="162">AH181+AI180</f>
        <v>-150.75029126312904</v>
      </c>
      <c r="AJ181" s="312">
        <f t="shared" ref="AJ181" si="163">AI181+AJ180</f>
        <v>-146.53733257418321</v>
      </c>
      <c r="AK181" s="312">
        <f t="shared" ref="AK181" si="164">AJ181+AK180</f>
        <v>-142.52497700565803</v>
      </c>
      <c r="AL181" s="312">
        <f t="shared" ref="AL181" si="165">AK181+AL180</f>
        <v>-138.70387688772391</v>
      </c>
      <c r="AM181" s="312">
        <f t="shared" ref="AM181" si="166">AL181+AM180</f>
        <v>-135.06510721722148</v>
      </c>
      <c r="AN181" s="312">
        <f t="shared" ref="AN181" si="167">AM181+AN180</f>
        <v>-131.60014738088034</v>
      </c>
      <c r="AO181" s="312">
        <f t="shared" ref="AO181" si="168">AN181+AO180</f>
        <v>-128.30086361326747</v>
      </c>
      <c r="AP181" s="312">
        <f t="shared" ref="AP181" si="169">AO181+AP180</f>
        <v>-125.1594921638001</v>
      </c>
      <c r="AQ181" s="312">
        <f t="shared" ref="AQ181" si="170">AP181+AQ180</f>
        <v>-122.168623147765</v>
      </c>
      <c r="AR181" s="312">
        <f t="shared" ref="AR181" si="171">AQ181+AR180</f>
        <v>-119.32118505690262</v>
      </c>
      <c r="AS181" s="312">
        <f t="shared" ref="AS181" si="172">AR181+AS180</f>
        <v>-116.61042990573957</v>
      </c>
      <c r="AT181" s="312">
        <f t="shared" ref="AT181" si="173">AS181+AT180</f>
        <v>-114.02991899048315</v>
      </c>
      <c r="AU181" s="312">
        <f t="shared" ref="AU181" si="174">AT181+AU180</f>
        <v>-111.57350923792333</v>
      </c>
      <c r="AV181" s="312">
        <f t="shared" ref="AV181" si="175">AU181+AV180</f>
        <v>-109.23534012242074</v>
      </c>
      <c r="AW181" s="312">
        <f t="shared" ref="AW181" si="176">AV181+AW180</f>
        <v>-107.00982112969022</v>
      </c>
      <c r="AX181" s="312">
        <f t="shared" ref="AX181" si="177">AW181+AX180</f>
        <v>-104.89161974671744</v>
      </c>
      <c r="AY181" s="312">
        <f t="shared" ref="AY181" si="178">AX181+AY180</f>
        <v>-102.87564995776877</v>
      </c>
      <c r="AZ181" s="312">
        <f t="shared" ref="AZ181" si="179">AY181+AZ180</f>
        <v>-100.9570612270718</v>
      </c>
      <c r="BA181" s="312">
        <f t="shared" ref="BA181" si="180">AZ181+BA180</f>
        <v>-99.131227949352862</v>
      </c>
      <c r="BB181" s="312">
        <f t="shared" ref="BB181" si="181">BA181+BB180</f>
        <v>-97.39373935001916</v>
      </c>
      <c r="BC181" s="312">
        <f t="shared" ref="BC181" si="182">BB181+BC180</f>
        <v>-95.740389817364473</v>
      </c>
    </row>
    <row r="182" spans="2:55" s="206" customFormat="1" ht="16.899999999999999" customHeight="1" outlineLevel="1" x14ac:dyDescent="0.25">
      <c r="B182" s="300" t="s">
        <v>418</v>
      </c>
      <c r="C182" s="307">
        <f t="shared" ref="C182:AH182" si="183">C167/(1+$C$28)^C32</f>
        <v>121.4938949633917</v>
      </c>
      <c r="D182" s="307">
        <f t="shared" si="183"/>
        <v>212.41942014135486</v>
      </c>
      <c r="E182" s="307">
        <f t="shared" si="183"/>
        <v>137.15397099410941</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0.99999999999999645</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1.0494649406849641</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zoomScale="75" zoomScaleNormal="75" workbookViewId="0">
      <selection activeCell="B2" sqref="B2"/>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7" t="str">
        <f>'R&amp;C-Painel de Controle'!G2</f>
        <v>CIRSOP - Consórcio RSU Oeste Paulista</v>
      </c>
      <c r="D2" s="2378"/>
      <c r="E2" s="2378"/>
      <c r="F2" s="2378"/>
      <c r="G2" s="2378"/>
      <c r="H2" s="2379"/>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467.94871794871796</v>
      </c>
      <c r="D4" s="1891" t="str">
        <f>D104</f>
        <v>t/d</v>
      </c>
      <c r="E4" s="1892"/>
      <c r="F4" s="1892"/>
      <c r="G4" s="1892"/>
      <c r="H4" s="1893"/>
      <c r="I4" s="1192"/>
    </row>
    <row r="5" spans="1:60" ht="19.899999999999999" customHeight="1" x14ac:dyDescent="0.25">
      <c r="B5" s="1894" t="s">
        <v>1118</v>
      </c>
      <c r="C5" s="1895">
        <f>'R&amp;C-Painel de Controle'!D33</f>
        <v>545.44961638466214</v>
      </c>
      <c r="D5" s="1896" t="s">
        <v>342</v>
      </c>
      <c r="E5" s="1897"/>
      <c r="F5" s="1897"/>
      <c r="G5" s="1897"/>
      <c r="H5" s="1898"/>
      <c r="I5" s="1192"/>
    </row>
    <row r="6" spans="1:60" s="1998" customFormat="1" ht="19.899999999999999" customHeight="1" x14ac:dyDescent="0.25">
      <c r="A6" s="383"/>
      <c r="B6" s="1894" t="s">
        <v>1119</v>
      </c>
      <c r="C6" s="1895">
        <f>'R&amp;C-Painel de Controle'!H33</f>
        <v>607.24899876865459</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9.74E-2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80" t="s">
        <v>1092</v>
      </c>
      <c r="C10" s="2381"/>
      <c r="D10" s="2384" t="s">
        <v>1088</v>
      </c>
      <c r="E10" s="2385"/>
      <c r="F10" s="2385"/>
      <c r="G10" s="2385"/>
      <c r="H10" s="2386"/>
      <c r="J10" s="1842" t="s">
        <v>1089</v>
      </c>
      <c r="K10" s="1842" t="s">
        <v>1087</v>
      </c>
      <c r="L10" s="1842" t="s">
        <v>1090</v>
      </c>
      <c r="M10" s="1842" t="s">
        <v>1088</v>
      </c>
      <c r="AI10" s="1734"/>
    </row>
    <row r="11" spans="1:60" s="1079" customFormat="1" ht="19.899999999999999" customHeight="1" thickBot="1" x14ac:dyDescent="0.3">
      <c r="A11" s="1734"/>
      <c r="B11" s="2382"/>
      <c r="C11" s="2383"/>
      <c r="D11" s="2387"/>
      <c r="E11" s="2388"/>
      <c r="F11" s="2388"/>
      <c r="G11" s="2388"/>
      <c r="H11" s="2389"/>
      <c r="AI11" s="1734"/>
    </row>
    <row r="12" spans="1:60" ht="4.9000000000000004" customHeight="1" thickTop="1" thickBot="1" x14ac:dyDescent="0.3"/>
    <row r="13" spans="1:60" s="42" customFormat="1" ht="25.15" customHeight="1" collapsed="1" thickTop="1" thickBot="1" x14ac:dyDescent="0.3">
      <c r="A13" s="1740"/>
      <c r="B13" s="2394" t="s">
        <v>1084</v>
      </c>
      <c r="C13" s="2395"/>
      <c r="D13" s="2395"/>
      <c r="E13" s="2395"/>
      <c r="F13" s="2395"/>
      <c r="G13" s="2395"/>
      <c r="H13" s="2396"/>
      <c r="I13" s="1783"/>
      <c r="J13" s="1783"/>
      <c r="AI13" s="1740"/>
    </row>
    <row r="14" spans="1:60" s="860" customFormat="1" ht="15" hidden="1"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25">
      <c r="A15" s="2376"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25">
      <c r="A16" s="2376"/>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25">
      <c r="A18" s="1823">
        <f>C18*1000000/$C$16</f>
        <v>135.1431717840305</v>
      </c>
      <c r="B18" s="1794" t="str">
        <f>'C-FCL Real'!B63</f>
        <v>Dados de Capex</v>
      </c>
      <c r="C18" s="1809">
        <f>SUMIF($D$15:$BG$15,1,D18:BG18)</f>
        <v>742.53668282306353</v>
      </c>
      <c r="D18" s="1804">
        <f>'C-FCL Real'!C63</f>
        <v>173.56270709055957</v>
      </c>
      <c r="E18" s="51">
        <f>'C-FCL Real'!D63</f>
        <v>333.01295951874692</v>
      </c>
      <c r="F18" s="51">
        <f>'C-FCL Real'!E63</f>
        <v>235.96101621375709</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25">
      <c r="A19" s="1823">
        <f>C19*1000000/$C$16</f>
        <v>123.1485071842815</v>
      </c>
      <c r="B19" s="1847" t="s">
        <v>1008</v>
      </c>
      <c r="C19" s="1808">
        <f>SUMIF($D$15:$BG$15,1,D19:BG19)</f>
        <v>676.63266158471265</v>
      </c>
      <c r="D19" s="1804">
        <f t="shared" ref="D19:AJ19" si="0">NPV($C$8,D18:D18)</f>
        <v>158.1581074271547</v>
      </c>
      <c r="E19" s="51">
        <f t="shared" si="0"/>
        <v>303.45631448764988</v>
      </c>
      <c r="F19" s="51">
        <f t="shared" si="0"/>
        <v>215.01823966990807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25">
      <c r="A20" s="1823"/>
      <c r="B20" s="1192"/>
      <c r="C20" s="2102">
        <f>C18*1000000/(C16/C43)</f>
        <v>4730.0110124410676</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25">
      <c r="A21" s="1823">
        <f>C21*1000000/$C$16</f>
        <v>298.95963859435773</v>
      </c>
      <c r="B21" s="1794" t="str">
        <f>'C-FCL Real'!B119</f>
        <v>Dados de Opex + Gestão do Contrato</v>
      </c>
      <c r="C21" s="1809">
        <f>SUMIF($D$15:$BG$15,1,D21:BG21)</f>
        <v>1642.6171992958068</v>
      </c>
      <c r="D21" s="1804">
        <f>'C-FCL Real'!C119</f>
        <v>2.4454456250000005</v>
      </c>
      <c r="E21" s="51">
        <f>'C-FCL Real'!D119</f>
        <v>2.4454456250000005</v>
      </c>
      <c r="F21" s="51">
        <f>'C-FCL Real'!E119</f>
        <v>2.4454456250000005</v>
      </c>
      <c r="G21" s="51">
        <f>'C-FCL Real'!F119</f>
        <v>51.102526950650237</v>
      </c>
      <c r="H21" s="51">
        <f>'C-FCL Real'!G119</f>
        <v>51.102526950650237</v>
      </c>
      <c r="I21" s="51">
        <f>'C-FCL Real'!H119</f>
        <v>51.102526950650237</v>
      </c>
      <c r="J21" s="51">
        <f>'C-FCL Real'!I119</f>
        <v>51.102526950650237</v>
      </c>
      <c r="K21" s="51">
        <f>'C-FCL Real'!J119</f>
        <v>51.102526950650237</v>
      </c>
      <c r="L21" s="51">
        <f>'C-FCL Real'!K119</f>
        <v>51.102526950650237</v>
      </c>
      <c r="M21" s="51">
        <f>'C-FCL Real'!L119</f>
        <v>51.102526950650237</v>
      </c>
      <c r="N21" s="51">
        <f>'C-FCL Real'!M119</f>
        <v>51.102526950650237</v>
      </c>
      <c r="O21" s="51">
        <f>'C-FCL Real'!N119</f>
        <v>51.102526950650237</v>
      </c>
      <c r="P21" s="51">
        <f>'C-FCL Real'!O119</f>
        <v>51.102526950650237</v>
      </c>
      <c r="Q21" s="51">
        <f>'C-FCL Real'!P119</f>
        <v>51.102526950650237</v>
      </c>
      <c r="R21" s="51">
        <f>'C-FCL Real'!Q119</f>
        <v>51.102526950650237</v>
      </c>
      <c r="S21" s="51">
        <f>'C-FCL Real'!O119</f>
        <v>51.102526950650237</v>
      </c>
      <c r="T21" s="51">
        <f>'C-FCL Real'!P119</f>
        <v>51.102526950650237</v>
      </c>
      <c r="U21" s="51">
        <f>'C-FCL Real'!Q119</f>
        <v>51.102526950650237</v>
      </c>
      <c r="V21" s="51">
        <f>'C-FCL Real'!R119</f>
        <v>51.102526950650237</v>
      </c>
      <c r="W21" s="51">
        <f>'C-FCL Real'!S119</f>
        <v>51.102526950650237</v>
      </c>
      <c r="X21" s="51">
        <f>'C-FCL Real'!T119</f>
        <v>51.102526950650237</v>
      </c>
      <c r="Y21" s="51">
        <f>'C-FCL Real'!U119</f>
        <v>51.102526950650237</v>
      </c>
      <c r="Z21" s="51">
        <f>'C-FCL Real'!V119</f>
        <v>51.102526950650237</v>
      </c>
      <c r="AA21" s="51">
        <f>'C-FCL Real'!W119</f>
        <v>51.102526950650237</v>
      </c>
      <c r="AB21" s="51">
        <f>'C-FCL Real'!X119</f>
        <v>51.102526950650237</v>
      </c>
      <c r="AC21" s="51">
        <f>'C-FCL Real'!Y119</f>
        <v>51.102526950650237</v>
      </c>
      <c r="AD21" s="51">
        <f>'C-FCL Real'!Z119</f>
        <v>51.102526950650237</v>
      </c>
      <c r="AE21" s="51">
        <f>'C-FCL Real'!AA119</f>
        <v>51.102526950650237</v>
      </c>
      <c r="AF21" s="51">
        <f>'C-FCL Real'!AB119</f>
        <v>51.102526950650237</v>
      </c>
      <c r="AG21" s="51">
        <f>'C-FCL Real'!AC119</f>
        <v>51.102526950650237</v>
      </c>
      <c r="AH21" s="51">
        <f>'C-FCL Real'!AD119</f>
        <v>51.102526950650237</v>
      </c>
      <c r="AI21" s="51">
        <f>'C-FCL Real'!AE119</f>
        <v>51.102526950650237</v>
      </c>
      <c r="AJ21" s="1739">
        <f>'C-FCL Real'!AF119</f>
        <v>51.102526950650237</v>
      </c>
      <c r="AK21" s="51">
        <f>'C-FCL Real'!AG119</f>
        <v>51.102526950650237</v>
      </c>
      <c r="AL21" s="51">
        <f>'C-FCL Real'!AH119</f>
        <v>51.102526950650237</v>
      </c>
      <c r="AM21" s="51">
        <f>'C-FCL Real'!AI119</f>
        <v>51.102526950650237</v>
      </c>
      <c r="AN21" s="51">
        <f>'C-FCL Real'!AJ119</f>
        <v>51.102526950650237</v>
      </c>
      <c r="AO21" s="51">
        <f>'C-FCL Real'!AK119</f>
        <v>51.102526950650237</v>
      </c>
      <c r="AP21" s="51">
        <f>'C-FCL Real'!AL119</f>
        <v>51.102526950650237</v>
      </c>
      <c r="AQ21" s="51">
        <f>'C-FCL Real'!AM119</f>
        <v>51.102526950650237</v>
      </c>
      <c r="AR21" s="51">
        <f>'C-FCL Real'!AN119</f>
        <v>51.102526950650237</v>
      </c>
      <c r="AS21" s="51">
        <f>'C-FCL Real'!AO119</f>
        <v>51.102526950650237</v>
      </c>
      <c r="AT21" s="51">
        <f>'C-FCL Real'!AP119</f>
        <v>51.102526950650237</v>
      </c>
      <c r="AU21" s="51">
        <f>'C-FCL Real'!AQ119</f>
        <v>51.102526950650237</v>
      </c>
      <c r="AV21" s="51">
        <f>'C-FCL Real'!AR119</f>
        <v>51.102526950650237</v>
      </c>
      <c r="AW21" s="51">
        <f>'C-FCL Real'!AS119</f>
        <v>51.102526950650237</v>
      </c>
      <c r="AX21" s="51">
        <f>'C-FCL Real'!AT119</f>
        <v>51.102526950650237</v>
      </c>
      <c r="AY21" s="51">
        <f>'C-FCL Real'!AU119</f>
        <v>51.102526950650237</v>
      </c>
      <c r="AZ21" s="51">
        <f>'C-FCL Real'!AV119</f>
        <v>51.102526950650237</v>
      </c>
      <c r="BA21" s="51">
        <f>'C-FCL Real'!AW119</f>
        <v>51.102526950650237</v>
      </c>
      <c r="BB21" s="51">
        <f>'C-FCL Real'!AX119</f>
        <v>51.102526950650237</v>
      </c>
      <c r="BC21" s="51">
        <f>'C-FCL Real'!AY119</f>
        <v>51.102526950650237</v>
      </c>
      <c r="BD21" s="51">
        <f>'C-FCL Real'!AZ119</f>
        <v>51.102526950650237</v>
      </c>
      <c r="BE21" s="51">
        <f>'C-FCL Real'!BA119</f>
        <v>51.102526950650237</v>
      </c>
      <c r="BF21" s="51">
        <f>'C-FCL Real'!BB119</f>
        <v>51.102526950650237</v>
      </c>
      <c r="BG21" s="51">
        <f>'C-FCL Real'!BC119</f>
        <v>51.102526950650237</v>
      </c>
      <c r="BH21" s="51">
        <f>'C-FCL Real'!BD119</f>
        <v>0</v>
      </c>
    </row>
    <row r="22" spans="1:60" ht="15" hidden="1" customHeight="1" outlineLevel="1" x14ac:dyDescent="0.25">
      <c r="A22" s="1823">
        <f>C22*1000000/$C$16</f>
        <v>255.47486143398072</v>
      </c>
      <c r="B22" s="1847" t="s">
        <v>1009</v>
      </c>
      <c r="C22" s="1808">
        <f>SUMIF($D$15:$BG$15,1,D22:BG22)</f>
        <v>1403.6924962588907</v>
      </c>
      <c r="D22" s="1804">
        <f t="shared" ref="D22:AJ22" si="1">NPV($C$8,D21:D21)</f>
        <v>2.2283995124840539</v>
      </c>
      <c r="E22" s="51">
        <f t="shared" si="1"/>
        <v>2.2283995124840539</v>
      </c>
      <c r="F22" s="51">
        <f t="shared" si="1"/>
        <v>2.2283995124840539</v>
      </c>
      <c r="G22" s="51">
        <f t="shared" si="1"/>
        <v>46.56690992404797</v>
      </c>
      <c r="H22" s="51">
        <f t="shared" si="1"/>
        <v>46.56690992404797</v>
      </c>
      <c r="I22" s="51">
        <f t="shared" si="1"/>
        <v>46.56690992404797</v>
      </c>
      <c r="J22" s="51">
        <f t="shared" si="1"/>
        <v>46.56690992404797</v>
      </c>
      <c r="K22" s="51">
        <f t="shared" si="1"/>
        <v>46.56690992404797</v>
      </c>
      <c r="L22" s="51">
        <f t="shared" si="1"/>
        <v>46.56690992404797</v>
      </c>
      <c r="M22" s="51">
        <f t="shared" si="1"/>
        <v>46.56690992404797</v>
      </c>
      <c r="N22" s="51">
        <f t="shared" si="1"/>
        <v>46.56690992404797</v>
      </c>
      <c r="O22" s="51">
        <f t="shared" si="1"/>
        <v>46.56690992404797</v>
      </c>
      <c r="P22" s="51">
        <f t="shared" si="1"/>
        <v>46.56690992404797</v>
      </c>
      <c r="Q22" s="51">
        <f t="shared" si="1"/>
        <v>46.56690992404797</v>
      </c>
      <c r="R22" s="51">
        <f t="shared" si="1"/>
        <v>46.56690992404797</v>
      </c>
      <c r="S22" s="51">
        <f t="shared" si="1"/>
        <v>46.56690992404797</v>
      </c>
      <c r="T22" s="51">
        <f t="shared" si="1"/>
        <v>46.56690992404797</v>
      </c>
      <c r="U22" s="51">
        <f t="shared" si="1"/>
        <v>46.56690992404797</v>
      </c>
      <c r="V22" s="51">
        <f t="shared" si="1"/>
        <v>46.56690992404797</v>
      </c>
      <c r="W22" s="51">
        <f t="shared" si="1"/>
        <v>46.56690992404797</v>
      </c>
      <c r="X22" s="51">
        <f t="shared" si="1"/>
        <v>46.56690992404797</v>
      </c>
      <c r="Y22" s="51">
        <f t="shared" si="1"/>
        <v>46.56690992404797</v>
      </c>
      <c r="Z22" s="51">
        <f t="shared" si="1"/>
        <v>46.56690992404797</v>
      </c>
      <c r="AA22" s="51">
        <f t="shared" si="1"/>
        <v>46.56690992404797</v>
      </c>
      <c r="AB22" s="51">
        <f t="shared" si="1"/>
        <v>46.56690992404797</v>
      </c>
      <c r="AC22" s="51">
        <f t="shared" si="1"/>
        <v>46.56690992404797</v>
      </c>
      <c r="AD22" s="51">
        <f t="shared" si="1"/>
        <v>46.56690992404797</v>
      </c>
      <c r="AE22" s="51">
        <f t="shared" si="1"/>
        <v>46.56690992404797</v>
      </c>
      <c r="AF22" s="51">
        <f t="shared" si="1"/>
        <v>46.56690992404797</v>
      </c>
      <c r="AG22" s="51">
        <f t="shared" si="1"/>
        <v>46.56690992404797</v>
      </c>
      <c r="AH22" s="51">
        <f t="shared" si="1"/>
        <v>46.56690992404797</v>
      </c>
      <c r="AI22" s="51">
        <f t="shared" si="1"/>
        <v>46.56690992404797</v>
      </c>
      <c r="AJ22" s="1739">
        <f t="shared" si="1"/>
        <v>46.56690992404797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25">
      <c r="A23" s="1823"/>
      <c r="B23" s="1793"/>
      <c r="C23" s="2103">
        <f>C21*1000000/C16</f>
        <v>298.95963859435773</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25">
      <c r="A27" s="1823">
        <f>C27*1000000/$C$16</f>
        <v>467.72304604984777</v>
      </c>
      <c r="B27" s="1794" t="str">
        <f>'C-FCL Real'!B148</f>
        <v>Dados de Receitas Diretas</v>
      </c>
      <c r="C27" s="1809">
        <f>SUMIF($D$15:$BG$15,1,D27:BG27)</f>
        <v>2569.8784075363296</v>
      </c>
      <c r="D27" s="1804">
        <f>'C-FCL Real'!C148-D30</f>
        <v>68.287564723277782</v>
      </c>
      <c r="E27" s="51">
        <f>'C-FCL Real'!D148-E30</f>
        <v>68.608516277477179</v>
      </c>
      <c r="F27" s="51">
        <f>'C-FCL Real'!E148-F30</f>
        <v>68.930976303981311</v>
      </c>
      <c r="G27" s="51">
        <f>'C-FCL Real'!F148-G30</f>
        <v>69.254951892610009</v>
      </c>
      <c r="H27" s="51">
        <f>'C-FCL Real'!G148-H30</f>
        <v>69.580450166505258</v>
      </c>
      <c r="I27" s="51">
        <f>'C-FCL Real'!H148-I30</f>
        <v>69.90747828228784</v>
      </c>
      <c r="J27" s="51">
        <f>'C-FCL Real'!I148-J30</f>
        <v>70.236043430214579</v>
      </c>
      <c r="K27" s="51">
        <f>'C-FCL Real'!J148-K30</f>
        <v>70.566152834336592</v>
      </c>
      <c r="L27" s="51">
        <f>'C-FCL Real'!K148-L30</f>
        <v>70.897813752657981</v>
      </c>
      <c r="M27" s="51">
        <f>'C-FCL Real'!L148-M30</f>
        <v>71.231033477295469</v>
      </c>
      <c r="N27" s="51">
        <f>'C-FCL Real'!M148-N30</f>
        <v>71.565819334638761</v>
      </c>
      <c r="O27" s="51">
        <f>'C-FCL Real'!N148-O30</f>
        <v>71.902178685511544</v>
      </c>
      <c r="P27" s="51">
        <f>'C-FCL Real'!O148-P30</f>
        <v>72.240118925333434</v>
      </c>
      <c r="Q27" s="51">
        <f>'C-FCL Real'!P148-Q30</f>
        <v>72.579647484282503</v>
      </c>
      <c r="R27" s="51">
        <f>'C-FCL Real'!Q148-R30</f>
        <v>72.920771827458623</v>
      </c>
      <c r="S27" s="51">
        <f>'C-FCL Real'!O148-S30</f>
        <v>72.240118925333434</v>
      </c>
      <c r="T27" s="51">
        <f>'C-FCL Real'!P148-T30</f>
        <v>72.579647484282503</v>
      </c>
      <c r="U27" s="51">
        <f>'C-FCL Real'!Q148-U30</f>
        <v>72.920771827458623</v>
      </c>
      <c r="V27" s="51">
        <f>'C-FCL Real'!R148-V30</f>
        <v>73.263499455047679</v>
      </c>
      <c r="W27" s="51">
        <f>'C-FCL Real'!S148-W30</f>
        <v>73.607837902486395</v>
      </c>
      <c r="X27" s="51">
        <f>'C-FCL Real'!T148-X30</f>
        <v>73.953794740628069</v>
      </c>
      <c r="Y27" s="51">
        <f>'C-FCL Real'!U148-Y30</f>
        <v>74.301377575909001</v>
      </c>
      <c r="Z27" s="51">
        <f>'C-FCL Real'!V148-Z30</f>
        <v>74.650594050515792</v>
      </c>
      <c r="AA27" s="51">
        <f>'C-FCL Real'!W148-AA30</f>
        <v>75.001451842553195</v>
      </c>
      <c r="AB27" s="51">
        <f>'C-FCL Real'!X148-AB30</f>
        <v>75.353958666213188</v>
      </c>
      <c r="AC27" s="51">
        <f>'C-FCL Real'!Y148-AC30</f>
        <v>75.70812227194439</v>
      </c>
      <c r="AD27" s="51">
        <f>'C-FCL Real'!Z148-AD30</f>
        <v>76.063950446622528</v>
      </c>
      <c r="AE27" s="51">
        <f>'C-FCL Real'!AA148-AE30</f>
        <v>76.421451013721637</v>
      </c>
      <c r="AF27" s="51">
        <f>'C-FCL Real'!AB148-AF30</f>
        <v>76.780631833486126</v>
      </c>
      <c r="AG27" s="51">
        <f>'C-FCL Real'!AC148-AG30</f>
        <v>77.141500803103497</v>
      </c>
      <c r="AH27" s="51">
        <f>'C-FCL Real'!AD148-AH30</f>
        <v>77.504065856878071</v>
      </c>
      <c r="AI27" s="51">
        <f>'C-FCL Real'!AE148-AI30</f>
        <v>77.868334966405385</v>
      </c>
      <c r="AJ27" s="1739">
        <f>'C-FCL Real'!AF148-AJ30</f>
        <v>78.234316140747509</v>
      </c>
      <c r="AK27" s="51">
        <f>'C-FCL Real'!AG148-AK30</f>
        <v>78.602017426609009</v>
      </c>
      <c r="AL27" s="51">
        <f>'C-FCL Real'!AH148-AL30</f>
        <v>78.971446908514068</v>
      </c>
      <c r="AM27" s="51">
        <f>'C-FCL Real'!AI148-AM30</f>
        <v>79.342612708984078</v>
      </c>
      <c r="AN27" s="51">
        <f>'C-FCL Real'!AJ148-AN30</f>
        <v>79.715522988716288</v>
      </c>
      <c r="AO27" s="51">
        <f>'C-FCL Real'!AK148-AO30</f>
        <v>80.090185946763256</v>
      </c>
      <c r="AP27" s="51">
        <f>'C-FCL Real'!AL148-AP30</f>
        <v>80.466609820713046</v>
      </c>
      <c r="AQ27" s="51">
        <f>'C-FCL Real'!AM148-AQ30</f>
        <v>80.844802886870383</v>
      </c>
      <c r="AR27" s="51">
        <f>'C-FCL Real'!AN148-AR30</f>
        <v>81.224773460438669</v>
      </c>
      <c r="AS27" s="51">
        <f>'C-FCL Real'!AO148-AS30</f>
        <v>81.606529895702721</v>
      </c>
      <c r="AT27" s="51">
        <f>'C-FCL Real'!AP148-AT30</f>
        <v>81.990080586212514</v>
      </c>
      <c r="AU27" s="51">
        <f>'C-FCL Real'!AQ148-AU30</f>
        <v>82.375433964967712</v>
      </c>
      <c r="AV27" s="51">
        <f>'C-FCL Real'!AR148-AV30</f>
        <v>82.762598504603062</v>
      </c>
      <c r="AW27" s="51">
        <f>'C-FCL Real'!AS148-AW30</f>
        <v>83.151582717574684</v>
      </c>
      <c r="AX27" s="51">
        <f>'C-FCL Real'!AT148-AX30</f>
        <v>83.542395156347311</v>
      </c>
      <c r="AY27" s="51">
        <f>'C-FCL Real'!AU148-AY30</f>
        <v>83.935044413582119</v>
      </c>
      <c r="AZ27" s="51">
        <f>'C-FCL Real'!AV148-AZ30</f>
        <v>84.329539122325954</v>
      </c>
      <c r="BA27" s="51">
        <f>'C-FCL Real'!AW148-BA30</f>
        <v>84.725887956200879</v>
      </c>
      <c r="BB27" s="51">
        <f>'C-FCL Real'!AX148-BB30</f>
        <v>85.124099629595023</v>
      </c>
      <c r="BC27" s="51">
        <f>'C-FCL Real'!AY148-BC30</f>
        <v>85.524182897854104</v>
      </c>
      <c r="BD27" s="51">
        <f>'C-FCL Real'!AZ148-BD30</f>
        <v>85.926146557474013</v>
      </c>
      <c r="BE27" s="51">
        <f>'C-FCL Real'!BA148-BE30</f>
        <v>86.329999446294138</v>
      </c>
      <c r="BF27" s="51">
        <f>'C-FCL Real'!BB148-BF30</f>
        <v>86.735750443691728</v>
      </c>
      <c r="BG27" s="51">
        <f>'C-FCL Real'!BC148-BG30</f>
        <v>87.143408470777075</v>
      </c>
      <c r="BH27" s="51">
        <f>'C-FCL Real'!BD148-BH30</f>
        <v>0</v>
      </c>
    </row>
    <row r="28" spans="1:60" ht="15" hidden="1" customHeight="1" outlineLevel="1" x14ac:dyDescent="0.25">
      <c r="A28" s="1823">
        <f>C28*1000000/$C$16</f>
        <v>400.07687094871733</v>
      </c>
      <c r="B28" s="1847" t="s">
        <v>1010</v>
      </c>
      <c r="C28" s="1808">
        <f>SUMIF($D$15:$BG$15,1,D28:BG28)</f>
        <v>2198.2002398407199</v>
      </c>
      <c r="D28" s="1804">
        <f t="shared" ref="D28:AJ28" si="3">NPV($C$8,D27:D27)</f>
        <v>62.226685550644966</v>
      </c>
      <c r="E28" s="51">
        <f t="shared" si="3"/>
        <v>62.519150972732987</v>
      </c>
      <c r="F28" s="51">
        <f t="shared" si="3"/>
        <v>62.812990982304825</v>
      </c>
      <c r="G28" s="51">
        <f t="shared" si="3"/>
        <v>63.108212039921646</v>
      </c>
      <c r="H28" s="51">
        <f t="shared" si="3"/>
        <v>63.404820636509264</v>
      </c>
      <c r="I28" s="51">
        <f t="shared" si="3"/>
        <v>63.702823293500863</v>
      </c>
      <c r="J28" s="51">
        <f t="shared" si="3"/>
        <v>64.002226562980297</v>
      </c>
      <c r="K28" s="51">
        <f t="shared" si="3"/>
        <v>64.303037027826306</v>
      </c>
      <c r="L28" s="51">
        <f t="shared" si="3"/>
        <v>64.605261301857098</v>
      </c>
      <c r="M28" s="51">
        <f t="shared" si="3"/>
        <v>64.908906029975824</v>
      </c>
      <c r="N28" s="51">
        <f t="shared" si="3"/>
        <v>65.21397788831672</v>
      </c>
      <c r="O28" s="51">
        <f t="shared" si="3"/>
        <v>65.520483584391783</v>
      </c>
      <c r="P28" s="51">
        <f t="shared" si="3"/>
        <v>65.828429857238419</v>
      </c>
      <c r="Q28" s="51">
        <f t="shared" si="3"/>
        <v>66.137823477567437</v>
      </c>
      <c r="R28" s="51">
        <f t="shared" si="3"/>
        <v>66.448671247912003</v>
      </c>
      <c r="S28" s="51">
        <f t="shared" si="3"/>
        <v>65.828429857238419</v>
      </c>
      <c r="T28" s="51">
        <f t="shared" si="3"/>
        <v>66.137823477567437</v>
      </c>
      <c r="U28" s="51">
        <f t="shared" si="3"/>
        <v>66.448671247912003</v>
      </c>
      <c r="V28" s="51">
        <f t="shared" si="3"/>
        <v>66.760980002777188</v>
      </c>
      <c r="W28" s="51">
        <f t="shared" si="3"/>
        <v>67.074756608790224</v>
      </c>
      <c r="X28" s="51">
        <f t="shared" si="3"/>
        <v>67.390007964851534</v>
      </c>
      <c r="Y28" s="51">
        <f t="shared" si="3"/>
        <v>67.706741002286321</v>
      </c>
      <c r="Z28" s="51">
        <f t="shared" si="3"/>
        <v>68.024962684997078</v>
      </c>
      <c r="AA28" s="51">
        <f t="shared" si="3"/>
        <v>68.344680009616553</v>
      </c>
      <c r="AB28" s="51">
        <f t="shared" si="3"/>
        <v>68.66590000566174</v>
      </c>
      <c r="AC28" s="51">
        <f t="shared" si="3"/>
        <v>68.988629735688349</v>
      </c>
      <c r="AD28" s="51">
        <f t="shared" si="3"/>
        <v>69.312876295446088</v>
      </c>
      <c r="AE28" s="51">
        <f t="shared" si="3"/>
        <v>69.638646814034658</v>
      </c>
      <c r="AF28" s="51">
        <f t="shared" si="3"/>
        <v>69.965948454060623</v>
      </c>
      <c r="AG28" s="51">
        <f t="shared" si="3"/>
        <v>70.294788411794698</v>
      </c>
      <c r="AH28" s="51">
        <f t="shared" si="3"/>
        <v>70.625173917330116</v>
      </c>
      <c r="AI28" s="51">
        <f t="shared" si="3"/>
        <v>70.957112234741558</v>
      </c>
      <c r="AJ28" s="1739">
        <f t="shared" si="3"/>
        <v>71.290610662244859</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25">
      <c r="A30" s="1823">
        <f>C30*1000000/$C$16</f>
        <v>12.855020980503609</v>
      </c>
      <c r="B30" s="1794" t="str">
        <f>'C-FCL Real'!B149</f>
        <v>Receita do Ente Público pela disposição do RPU</v>
      </c>
      <c r="C30" s="1809">
        <f>SUMIF($D$15:$BG$15,1,D30:BG30)</f>
        <v>70.631201787525157</v>
      </c>
      <c r="D30" s="1804">
        <f>'C-FCL Real'!C149</f>
        <v>1.8768330631535273</v>
      </c>
      <c r="E30" s="51">
        <f>'C-FCL Real'!D149</f>
        <v>1.8856541785503487</v>
      </c>
      <c r="F30" s="51">
        <f>'C-FCL Real'!E149</f>
        <v>1.8945167531895353</v>
      </c>
      <c r="G30" s="51">
        <f>'C-FCL Real'!F149</f>
        <v>1.903420981929526</v>
      </c>
      <c r="H30" s="51">
        <f>'C-FCL Real'!G149</f>
        <v>1.9123670605445946</v>
      </c>
      <c r="I30" s="51">
        <f>'C-FCL Real'!H149</f>
        <v>1.921355185729154</v>
      </c>
      <c r="J30" s="51">
        <f>'C-FCL Real'!I149</f>
        <v>1.9303855551020808</v>
      </c>
      <c r="K30" s="51">
        <f>'C-FCL Real'!J149</f>
        <v>1.9394583672110604</v>
      </c>
      <c r="L30" s="51">
        <f>'C-FCL Real'!K149</f>
        <v>1.9485738215369521</v>
      </c>
      <c r="M30" s="51">
        <f>'C-FCL Real'!L149</f>
        <v>1.9577321184981757</v>
      </c>
      <c r="N30" s="51">
        <f>'C-FCL Real'!M149</f>
        <v>1.9669334594551171</v>
      </c>
      <c r="O30" s="51">
        <f>'C-FCL Real'!N149</f>
        <v>1.976178046714556</v>
      </c>
      <c r="P30" s="51">
        <f>'C-FCL Real'!O149</f>
        <v>1.9854660835341142</v>
      </c>
      <c r="Q30" s="51">
        <f>'C-FCL Real'!P149</f>
        <v>1.9947977741267244</v>
      </c>
      <c r="R30" s="51">
        <f>'C-FCL Real'!Q149</f>
        <v>2.0041733236651198</v>
      </c>
      <c r="S30" s="51">
        <f>'C-FCL Real'!O149</f>
        <v>1.9854660835341142</v>
      </c>
      <c r="T30" s="51">
        <f>'C-FCL Real'!P149</f>
        <v>1.9947977741267244</v>
      </c>
      <c r="U30" s="51">
        <f>'C-FCL Real'!Q149</f>
        <v>2.0041733236651198</v>
      </c>
      <c r="V30" s="51">
        <f>'C-FCL Real'!R149</f>
        <v>2.0135929382863456</v>
      </c>
      <c r="W30" s="51">
        <f>'C-FCL Real'!S149</f>
        <v>2.0230568250962913</v>
      </c>
      <c r="X30" s="51">
        <f>'C-FCL Real'!T149</f>
        <v>2.0325651921742436</v>
      </c>
      <c r="Y30" s="51">
        <f>'C-FCL Real'!U149</f>
        <v>2.0421182485774625</v>
      </c>
      <c r="Z30" s="51">
        <f>'C-FCL Real'!V149</f>
        <v>2.0517162043457766</v>
      </c>
      <c r="AA30" s="51">
        <f>'C-FCL Real'!W149</f>
        <v>2.0613592705062018</v>
      </c>
      <c r="AB30" s="51">
        <f>'C-FCL Real'!X149</f>
        <v>2.071047659077581</v>
      </c>
      <c r="AC30" s="51">
        <f>'C-FCL Real'!Y149</f>
        <v>2.0807815830752454</v>
      </c>
      <c r="AD30" s="51">
        <f>'C-FCL Real'!Z149</f>
        <v>2.090561256515699</v>
      </c>
      <c r="AE30" s="51">
        <f>'C-FCL Real'!AA149</f>
        <v>2.1003868944213226</v>
      </c>
      <c r="AF30" s="51">
        <f>'C-FCL Real'!AB149</f>
        <v>2.1102587128251029</v>
      </c>
      <c r="AG30" s="51">
        <f>'C-FCL Real'!AC149</f>
        <v>2.1201769287753809</v>
      </c>
      <c r="AH30" s="51">
        <f>'C-FCL Real'!AD149</f>
        <v>2.1301417603406252</v>
      </c>
      <c r="AI30" s="51">
        <f>'C-FCL Real'!AE149</f>
        <v>2.1401534266142259</v>
      </c>
      <c r="AJ30" s="1739">
        <f>'C-FCL Real'!AF149</f>
        <v>2.1502121477193126</v>
      </c>
      <c r="AK30" s="51">
        <f>'C-FCL Real'!AG149</f>
        <v>2.1603181448135933</v>
      </c>
      <c r="AL30" s="51">
        <f>'C-FCL Real'!AH149</f>
        <v>2.1704716400942172</v>
      </c>
      <c r="AM30" s="51">
        <f>'C-FCL Real'!AI149</f>
        <v>2.1806728568026599</v>
      </c>
      <c r="AN30" s="51">
        <f>'C-FCL Real'!AJ149</f>
        <v>2.1909220192296321</v>
      </c>
      <c r="AO30" s="51">
        <f>'C-FCL Real'!AK149</f>
        <v>2.2012193527200115</v>
      </c>
      <c r="AP30" s="51">
        <f>'C-FCL Real'!AL149</f>
        <v>2.2115650836777951</v>
      </c>
      <c r="AQ30" s="51">
        <f>'C-FCL Real'!AM149</f>
        <v>2.2219594395710804</v>
      </c>
      <c r="AR30" s="51">
        <f>'C-FCL Real'!AN149</f>
        <v>2.2324026489370645</v>
      </c>
      <c r="AS30" s="51">
        <f>'C-FCL Real'!AO149</f>
        <v>2.2428949413870685</v>
      </c>
      <c r="AT30" s="51">
        <f>'C-FCL Real'!AP149</f>
        <v>2.2534365476115874</v>
      </c>
      <c r="AU30" s="51">
        <f>'C-FCL Real'!AQ149</f>
        <v>2.2640276993853616</v>
      </c>
      <c r="AV30" s="51">
        <f>'C-FCL Real'!AR149</f>
        <v>2.2746686295724725</v>
      </c>
      <c r="AW30" s="51">
        <f>'C-FCL Real'!AS149</f>
        <v>2.2853595721314628</v>
      </c>
      <c r="AX30" s="51">
        <f>'C-FCL Real'!AT149</f>
        <v>2.2961007621204805</v>
      </c>
      <c r="AY30" s="51">
        <f>'C-FCL Real'!AU149</f>
        <v>2.3068924357024465</v>
      </c>
      <c r="AZ30" s="51">
        <f>'C-FCL Real'!AV149</f>
        <v>2.3177348301502478</v>
      </c>
      <c r="BA30" s="51">
        <f>'C-FCL Real'!AW149</f>
        <v>2.3286281838519538</v>
      </c>
      <c r="BB30" s="51">
        <f>'C-FCL Real'!AX149</f>
        <v>2.3395727363160579</v>
      </c>
      <c r="BC30" s="51">
        <f>'C-FCL Real'!AY149</f>
        <v>2.3505687281767433</v>
      </c>
      <c r="BD30" s="51">
        <f>'C-FCL Real'!AZ149</f>
        <v>2.361616401199174</v>
      </c>
      <c r="BE30" s="51">
        <f>'C-FCL Real'!BA149</f>
        <v>2.3727159982848098</v>
      </c>
      <c r="BF30" s="51">
        <f>'C-FCL Real'!BB149</f>
        <v>2.3838677634767484</v>
      </c>
      <c r="BG30" s="51">
        <f>'C-FCL Real'!BC149</f>
        <v>2.3950719419650888</v>
      </c>
      <c r="BH30" s="51">
        <f>'C-FCL Real'!BD149</f>
        <v>0</v>
      </c>
    </row>
    <row r="31" spans="1:60" ht="15" hidden="1" customHeight="1" outlineLevel="1" x14ac:dyDescent="0.25">
      <c r="A31" s="1823">
        <f>C31*1000000/$C$16</f>
        <v>10.995816035354995</v>
      </c>
      <c r="B31" s="1847" t="s">
        <v>1011</v>
      </c>
      <c r="C31" s="1808">
        <f>SUMIF($D$15:$BG$15,1,D31:BG31)</f>
        <v>60.415903045942564</v>
      </c>
      <c r="D31" s="1804">
        <f t="shared" ref="D31:AJ31" si="4">NPV($C$8,D30:D30)</f>
        <v>1.7102542948364565</v>
      </c>
      <c r="E31" s="51">
        <f t="shared" si="4"/>
        <v>1.7182924900221876</v>
      </c>
      <c r="F31" s="51">
        <f t="shared" si="4"/>
        <v>1.7263684647252919</v>
      </c>
      <c r="G31" s="51">
        <f t="shared" si="4"/>
        <v>1.7344823965095009</v>
      </c>
      <c r="H31" s="51">
        <f t="shared" si="4"/>
        <v>1.7426344637730953</v>
      </c>
      <c r="I31" s="51">
        <f t="shared" si="4"/>
        <v>1.7508248457528286</v>
      </c>
      <c r="J31" s="51">
        <f t="shared" si="4"/>
        <v>1.7590537225278666</v>
      </c>
      <c r="K31" s="51">
        <f t="shared" si="4"/>
        <v>1.7673212750237475</v>
      </c>
      <c r="L31" s="51">
        <f t="shared" si="4"/>
        <v>1.7756276850163588</v>
      </c>
      <c r="M31" s="51">
        <f t="shared" si="4"/>
        <v>1.7839731351359358</v>
      </c>
      <c r="N31" s="51">
        <f t="shared" si="4"/>
        <v>1.7923578088710745</v>
      </c>
      <c r="O31" s="51">
        <f t="shared" si="4"/>
        <v>1.8007818905727684</v>
      </c>
      <c r="P31" s="51">
        <f t="shared" si="4"/>
        <v>1.8092455654584603</v>
      </c>
      <c r="Q31" s="51">
        <f t="shared" si="4"/>
        <v>1.817749019616115</v>
      </c>
      <c r="R31" s="51">
        <f t="shared" si="4"/>
        <v>1.8262924400083105</v>
      </c>
      <c r="S31" s="51">
        <f t="shared" si="4"/>
        <v>1.8092455654584603</v>
      </c>
      <c r="T31" s="51">
        <f t="shared" si="4"/>
        <v>1.817749019616115</v>
      </c>
      <c r="U31" s="51">
        <f t="shared" si="4"/>
        <v>1.8262924400083105</v>
      </c>
      <c r="V31" s="51">
        <f t="shared" si="4"/>
        <v>1.8348760144763492</v>
      </c>
      <c r="W31" s="51">
        <f t="shared" si="4"/>
        <v>1.8434999317443881</v>
      </c>
      <c r="X31" s="51">
        <f t="shared" si="4"/>
        <v>1.8521643814235864</v>
      </c>
      <c r="Y31" s="51">
        <f t="shared" si="4"/>
        <v>1.8608695540162772</v>
      </c>
      <c r="Z31" s="51">
        <f t="shared" si="4"/>
        <v>1.8696156409201539</v>
      </c>
      <c r="AA31" s="51">
        <f t="shared" si="4"/>
        <v>1.8784028344324786</v>
      </c>
      <c r="AB31" s="51">
        <f t="shared" si="4"/>
        <v>1.8872313277543113</v>
      </c>
      <c r="AC31" s="51">
        <f t="shared" si="4"/>
        <v>1.8961013149947563</v>
      </c>
      <c r="AD31" s="51">
        <f t="shared" si="4"/>
        <v>1.9050129911752316</v>
      </c>
      <c r="AE31" s="51">
        <f t="shared" si="4"/>
        <v>1.913966552233755</v>
      </c>
      <c r="AF31" s="51">
        <f t="shared" si="4"/>
        <v>1.9229621950292537</v>
      </c>
      <c r="AG31" s="51">
        <f t="shared" si="4"/>
        <v>1.9320001173458912</v>
      </c>
      <c r="AH31" s="51">
        <f t="shared" si="4"/>
        <v>1.9410805178974169</v>
      </c>
      <c r="AI31" s="51">
        <f t="shared" si="4"/>
        <v>1.9502035963315345</v>
      </c>
      <c r="AJ31" s="1739">
        <f t="shared" si="4"/>
        <v>1.9593695532342925</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25">
      <c r="A33" s="1823">
        <f>C33*1000000/$C$16</f>
        <v>46.47525665196288</v>
      </c>
      <c r="B33" s="1794" t="s">
        <v>1004</v>
      </c>
      <c r="C33" s="1809">
        <f>SUMIF($D$15:$BG$15,1,D33:BG33)</f>
        <v>255.35572720498288</v>
      </c>
      <c r="D33" s="1804">
        <f>'C-FCL Real'!C153</f>
        <v>-105.84375492912827</v>
      </c>
      <c r="E33" s="51">
        <f>'C-FCL Real'!D153</f>
        <v>-264.9642346877194</v>
      </c>
      <c r="F33" s="51">
        <f>'C-FCL Real'!E153</f>
        <v>-167.58096878158625</v>
      </c>
      <c r="G33" s="51">
        <f>'C-FCL Real'!F153</f>
        <v>20.055845923889301</v>
      </c>
      <c r="H33" s="51">
        <f>'C-FCL Real'!G153</f>
        <v>20.390290276399618</v>
      </c>
      <c r="I33" s="51">
        <f>'C-FCL Real'!H153</f>
        <v>20.726306517366758</v>
      </c>
      <c r="J33" s="51">
        <f>'C-FCL Real'!I153</f>
        <v>21.06390203466642</v>
      </c>
      <c r="K33" s="51">
        <f>'C-FCL Real'!J153</f>
        <v>21.403084250897415</v>
      </c>
      <c r="L33" s="51">
        <f>'C-FCL Real'!K153</f>
        <v>21.743860623544698</v>
      </c>
      <c r="M33" s="51">
        <f>'C-FCL Real'!L153</f>
        <v>22.086238645143403</v>
      </c>
      <c r="N33" s="51">
        <f>'C-FCL Real'!M153</f>
        <v>22.430225843443644</v>
      </c>
      <c r="O33" s="51">
        <f>'C-FCL Real'!N153</f>
        <v>22.775829781575858</v>
      </c>
      <c r="P33" s="51">
        <f>'C-FCL Real'!O153</f>
        <v>23.123058058217318</v>
      </c>
      <c r="Q33" s="51">
        <f>'C-FCL Real'!P153</f>
        <v>23.47191830775899</v>
      </c>
      <c r="R33" s="51">
        <f>'C-FCL Real'!Q153</f>
        <v>23.8224182004735</v>
      </c>
      <c r="S33" s="51">
        <f>'C-FCL Real'!O153</f>
        <v>23.123058058217318</v>
      </c>
      <c r="T33" s="51">
        <f>'C-FCL Real'!P153</f>
        <v>23.47191830775899</v>
      </c>
      <c r="U33" s="51">
        <f>'C-FCL Real'!Q153</f>
        <v>23.8224182004735</v>
      </c>
      <c r="V33" s="51">
        <f>'C-FCL Real'!R153</f>
        <v>24.174565442683793</v>
      </c>
      <c r="W33" s="51">
        <f>'C-FCL Real'!S153</f>
        <v>24.528367776932448</v>
      </c>
      <c r="X33" s="51">
        <f>'C-FCL Real'!T153</f>
        <v>24.883832982152079</v>
      </c>
      <c r="Y33" s="51">
        <f>'C-FCL Real'!U153</f>
        <v>25.240968873836231</v>
      </c>
      <c r="Z33" s="51">
        <f>'C-FCL Real'!V153</f>
        <v>25.599783304211336</v>
      </c>
      <c r="AA33" s="51">
        <f>'C-FCL Real'!W153</f>
        <v>25.96028416240916</v>
      </c>
      <c r="AB33" s="51">
        <f>'C-FCL Real'!X153</f>
        <v>26.32247937464053</v>
      </c>
      <c r="AC33" s="51">
        <f>'C-FCL Real'!Y153</f>
        <v>26.686376904369403</v>
      </c>
      <c r="AD33" s="51">
        <f>'C-FCL Real'!Z153</f>
        <v>27.051984752487989</v>
      </c>
      <c r="AE33" s="51">
        <f>'C-FCL Real'!AA153</f>
        <v>27.419310957492719</v>
      </c>
      <c r="AF33" s="51">
        <f>'C-FCL Real'!AB153</f>
        <v>27.788363595660989</v>
      </c>
      <c r="AG33" s="51">
        <f>'C-FCL Real'!AC153</f>
        <v>28.159150781228639</v>
      </c>
      <c r="AH33" s="51">
        <f>'C-FCL Real'!AD153</f>
        <v>28.531680666568455</v>
      </c>
      <c r="AI33" s="51">
        <f>'C-FCL Real'!AE153</f>
        <v>28.905961442369367</v>
      </c>
      <c r="AJ33" s="1739">
        <f>'C-FCL Real'!AF153</f>
        <v>29.282001337816588</v>
      </c>
      <c r="AK33" s="51">
        <f>'C-FCL Real'!AG153</f>
        <v>29.65980862077236</v>
      </c>
      <c r="AL33" s="51">
        <f>'C-FCL Real'!AH153</f>
        <v>30.039391597958051</v>
      </c>
      <c r="AM33" s="51">
        <f>'C-FCL Real'!AI153</f>
        <v>30.420758615136499</v>
      </c>
      <c r="AN33" s="51">
        <f>'C-FCL Real'!AJ153</f>
        <v>30.803918057295682</v>
      </c>
      <c r="AO33" s="51">
        <f>'C-FCL Real'!AK153</f>
        <v>31.188878348833036</v>
      </c>
      <c r="AP33" s="51">
        <f>'C-FCL Real'!AL153</f>
        <v>31.575647953740607</v>
      </c>
      <c r="AQ33" s="51">
        <f>'C-FCL Real'!AM153</f>
        <v>31.964235375791226</v>
      </c>
      <c r="AR33" s="51">
        <f>'C-FCL Real'!AN153</f>
        <v>32.354649158725501</v>
      </c>
      <c r="AS33" s="51">
        <f>'C-FCL Real'!AO153</f>
        <v>32.746897886439548</v>
      </c>
      <c r="AT33" s="51">
        <f>'C-FCL Real'!AP153</f>
        <v>33.140990183173862</v>
      </c>
      <c r="AU33" s="51">
        <f>'C-FCL Real'!AQ153</f>
        <v>33.536934713702841</v>
      </c>
      <c r="AV33" s="51">
        <f>'C-FCL Real'!AR153</f>
        <v>33.9347401835253</v>
      </c>
      <c r="AW33" s="51">
        <f>'C-FCL Real'!AS153</f>
        <v>34.334415339055916</v>
      </c>
      <c r="AX33" s="51">
        <f>'C-FCL Real'!AT153</f>
        <v>34.735968967817549</v>
      </c>
      <c r="AY33" s="51">
        <f>'C-FCL Real'!AU153</f>
        <v>35.139409898634334</v>
      </c>
      <c r="AZ33" s="51">
        <f>'C-FCL Real'!AV153</f>
        <v>35.544747001825961</v>
      </c>
      <c r="BA33" s="51">
        <f>'C-FCL Real'!AW153</f>
        <v>35.951989189402589</v>
      </c>
      <c r="BB33" s="51">
        <f>'C-FCL Real'!AX153</f>
        <v>36.361145415260843</v>
      </c>
      <c r="BC33" s="51">
        <f>'C-FCL Real'!AY153</f>
        <v>36.772224675380606</v>
      </c>
      <c r="BD33" s="51">
        <f>'C-FCL Real'!AZ153</f>
        <v>37.185236008022947</v>
      </c>
      <c r="BE33" s="51">
        <f>'C-FCL Real'!BA153</f>
        <v>37.600188493928705</v>
      </c>
      <c r="BF33" s="51">
        <f>'C-FCL Real'!BB153</f>
        <v>38.017091256518235</v>
      </c>
      <c r="BG33" s="51">
        <f>'C-FCL Real'!BC153</f>
        <v>38.435953462091923</v>
      </c>
      <c r="BH33" s="51">
        <f>'C-FCL Real'!BD153</f>
        <v>0</v>
      </c>
    </row>
    <row r="34" spans="1:60" ht="15" hidden="1" customHeight="1" outlineLevel="1" x14ac:dyDescent="0.25">
      <c r="A34" s="1823">
        <f>C34*1000000/$C$16</f>
        <v>32.449318365810008</v>
      </c>
      <c r="B34" s="1847" t="s">
        <v>1012</v>
      </c>
      <c r="C34" s="1808">
        <f>SUMIF($D$15:$BG$15,1,D34:BG34)</f>
        <v>178.29098504305858</v>
      </c>
      <c r="D34" s="1804">
        <f t="shared" ref="D34:AJ34" si="5">NPV($C$8,D33:D33)</f>
        <v>-96.449567094157345</v>
      </c>
      <c r="E34" s="51">
        <f t="shared" si="5"/>
        <v>-241.44727053737873</v>
      </c>
      <c r="F34" s="51">
        <f t="shared" si="5"/>
        <v>-152.70727973536199</v>
      </c>
      <c r="G34" s="51">
        <f t="shared" si="5"/>
        <v>18.275784512383179</v>
      </c>
      <c r="H34" s="51">
        <f t="shared" si="5"/>
        <v>18.580545176234391</v>
      </c>
      <c r="I34" s="51">
        <f t="shared" si="5"/>
        <v>18.886738215205721</v>
      </c>
      <c r="J34" s="51">
        <f t="shared" si="5"/>
        <v>19.194370361460198</v>
      </c>
      <c r="K34" s="51">
        <f t="shared" si="5"/>
        <v>19.503448378802091</v>
      </c>
      <c r="L34" s="51">
        <f t="shared" si="5"/>
        <v>19.813979062825496</v>
      </c>
      <c r="M34" s="51">
        <f t="shared" si="5"/>
        <v>20.125969241063792</v>
      </c>
      <c r="N34" s="51">
        <f t="shared" si="5"/>
        <v>20.439425773139828</v>
      </c>
      <c r="O34" s="51">
        <f t="shared" si="5"/>
        <v>20.754355550916586</v>
      </c>
      <c r="P34" s="51">
        <f t="shared" si="5"/>
        <v>21.070765498648914</v>
      </c>
      <c r="Q34" s="51">
        <f t="shared" si="5"/>
        <v>21.388662573135587</v>
      </c>
      <c r="R34" s="51">
        <f t="shared" si="5"/>
        <v>21.708053763872336</v>
      </c>
      <c r="S34" s="51">
        <f t="shared" si="5"/>
        <v>21.070765498648914</v>
      </c>
      <c r="T34" s="51">
        <f t="shared" si="5"/>
        <v>21.388662573135587</v>
      </c>
      <c r="U34" s="51">
        <f t="shared" si="5"/>
        <v>21.708053763872336</v>
      </c>
      <c r="V34" s="51">
        <f t="shared" si="5"/>
        <v>22.028946093205573</v>
      </c>
      <c r="W34" s="51">
        <f t="shared" si="5"/>
        <v>22.351346616486651</v>
      </c>
      <c r="X34" s="51">
        <f t="shared" si="5"/>
        <v>22.675262422227156</v>
      </c>
      <c r="Y34" s="51">
        <f t="shared" si="5"/>
        <v>23.000700632254631</v>
      </c>
      <c r="Z34" s="51">
        <f t="shared" si="5"/>
        <v>23.327668401869271</v>
      </c>
      <c r="AA34" s="51">
        <f t="shared" si="5"/>
        <v>23.656172920001058</v>
      </c>
      <c r="AB34" s="51">
        <f t="shared" si="5"/>
        <v>23.986221409368081</v>
      </c>
      <c r="AC34" s="51">
        <f t="shared" si="5"/>
        <v>24.317821126635142</v>
      </c>
      <c r="AD34" s="51">
        <f t="shared" si="5"/>
        <v>24.650979362573349</v>
      </c>
      <c r="AE34" s="51">
        <f t="shared" si="5"/>
        <v>24.985703442220448</v>
      </c>
      <c r="AF34" s="51">
        <f t="shared" si="5"/>
        <v>25.32200072504191</v>
      </c>
      <c r="AG34" s="51">
        <f t="shared" si="5"/>
        <v>25.659878605092619</v>
      </c>
      <c r="AH34" s="51">
        <f t="shared" si="5"/>
        <v>25.999344511179569</v>
      </c>
      <c r="AI34" s="51">
        <f t="shared" si="5"/>
        <v>26.340405907025122</v>
      </c>
      <c r="AJ34" s="1739">
        <f t="shared" si="5"/>
        <v>26.683070291431193</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25">
      <c r="A36" s="1823">
        <f>C36*1000000/$C$16</f>
        <v>49.117464684780288</v>
      </c>
      <c r="B36" s="1795" t="s">
        <v>1014</v>
      </c>
      <c r="C36" s="1809">
        <f>SUMIF($D$15:$BG$15,1,D36:BG36)</f>
        <v>269.87319310516182</v>
      </c>
      <c r="D36" s="1804">
        <f>IF(D33&gt;0,D33*0.34,0)</f>
        <v>0</v>
      </c>
      <c r="E36" s="51">
        <f t="shared" ref="E36:BG36" si="6">IF(E33&gt;0,E33*0.34,0)</f>
        <v>0</v>
      </c>
      <c r="F36" s="51">
        <f t="shared" si="6"/>
        <v>0</v>
      </c>
      <c r="G36" s="51">
        <f t="shared" si="6"/>
        <v>6.8189876141223627</v>
      </c>
      <c r="H36" s="51">
        <f t="shared" si="6"/>
        <v>6.9326986939758708</v>
      </c>
      <c r="I36" s="51">
        <f t="shared" si="6"/>
        <v>7.0469442159046984</v>
      </c>
      <c r="J36" s="51">
        <f t="shared" si="6"/>
        <v>7.1617266917865834</v>
      </c>
      <c r="K36" s="51">
        <f t="shared" si="6"/>
        <v>7.2770486453051211</v>
      </c>
      <c r="L36" s="51">
        <f t="shared" si="6"/>
        <v>7.3929126120051976</v>
      </c>
      <c r="M36" s="51">
        <f t="shared" si="6"/>
        <v>7.5093211393487573</v>
      </c>
      <c r="N36" s="51">
        <f t="shared" si="6"/>
        <v>7.6262767867708394</v>
      </c>
      <c r="O36" s="51">
        <f t="shared" si="6"/>
        <v>7.7437821257357919</v>
      </c>
      <c r="P36" s="51">
        <f>IF(P33&gt;0,P33*0.34,0)</f>
        <v>7.8618397397938882</v>
      </c>
      <c r="Q36" s="51">
        <f>IF(Q33&gt;0,Q33*0.34,0)</f>
        <v>7.9804522246380571</v>
      </c>
      <c r="R36" s="51">
        <f>IF(R33&gt;0,R33*0.34,0)</f>
        <v>8.0996221881609909</v>
      </c>
      <c r="S36" s="51">
        <f t="shared" si="6"/>
        <v>7.8618397397938882</v>
      </c>
      <c r="T36" s="51">
        <f t="shared" si="6"/>
        <v>7.9804522246380571</v>
      </c>
      <c r="U36" s="51">
        <f t="shared" si="6"/>
        <v>8.0996221881609909</v>
      </c>
      <c r="V36" s="51">
        <f t="shared" si="6"/>
        <v>8.2193522505124896</v>
      </c>
      <c r="W36" s="51">
        <f t="shared" si="6"/>
        <v>8.3396450441570327</v>
      </c>
      <c r="X36" s="51">
        <f t="shared" si="6"/>
        <v>8.4605032139317071</v>
      </c>
      <c r="Y36" s="51">
        <f t="shared" si="6"/>
        <v>8.5819294171043197</v>
      </c>
      <c r="Z36" s="51">
        <f t="shared" si="6"/>
        <v>8.7039263234318547</v>
      </c>
      <c r="AA36" s="51">
        <f t="shared" si="6"/>
        <v>8.8264966152191153</v>
      </c>
      <c r="AB36" s="51">
        <f t="shared" si="6"/>
        <v>8.9496429873777803</v>
      </c>
      <c r="AC36" s="51">
        <f t="shared" si="6"/>
        <v>9.0733681474855974</v>
      </c>
      <c r="AD36" s="51">
        <f t="shared" si="6"/>
        <v>9.1976748158459163</v>
      </c>
      <c r="AE36" s="51">
        <f t="shared" si="6"/>
        <v>9.3225657255475252</v>
      </c>
      <c r="AF36" s="51">
        <f t="shared" si="6"/>
        <v>9.4480436225247377</v>
      </c>
      <c r="AG36" s="51">
        <f t="shared" si="6"/>
        <v>9.5741112656177378</v>
      </c>
      <c r="AH36" s="51">
        <f t="shared" si="6"/>
        <v>9.7007714266332759</v>
      </c>
      <c r="AI36" s="51">
        <f t="shared" si="6"/>
        <v>9.8280268904055852</v>
      </c>
      <c r="AJ36" s="1739">
        <f t="shared" si="6"/>
        <v>9.9558804548576401</v>
      </c>
      <c r="AK36" s="51">
        <f t="shared" si="6"/>
        <v>10.084334931062603</v>
      </c>
      <c r="AL36" s="51">
        <f t="shared" si="6"/>
        <v>10.213393143305739</v>
      </c>
      <c r="AM36" s="51">
        <f t="shared" si="6"/>
        <v>10.343057929146411</v>
      </c>
      <c r="AN36" s="51">
        <f t="shared" si="6"/>
        <v>10.473332139480533</v>
      </c>
      <c r="AO36" s="51">
        <f t="shared" si="6"/>
        <v>10.604218638603234</v>
      </c>
      <c r="AP36" s="51">
        <f t="shared" si="6"/>
        <v>10.735720304271807</v>
      </c>
      <c r="AQ36" s="51">
        <f t="shared" si="6"/>
        <v>10.867840027769018</v>
      </c>
      <c r="AR36" s="51">
        <f t="shared" si="6"/>
        <v>11.000580713966672</v>
      </c>
      <c r="AS36" s="51">
        <f t="shared" si="6"/>
        <v>11.133945281389448</v>
      </c>
      <c r="AT36" s="51">
        <f t="shared" si="6"/>
        <v>11.267936662279114</v>
      </c>
      <c r="AU36" s="51">
        <f t="shared" si="6"/>
        <v>11.402557802658967</v>
      </c>
      <c r="AV36" s="51">
        <f t="shared" si="6"/>
        <v>11.537811662398603</v>
      </c>
      <c r="AW36" s="51">
        <f t="shared" si="6"/>
        <v>11.673701215279012</v>
      </c>
      <c r="AX36" s="51">
        <f t="shared" si="6"/>
        <v>11.810229449057967</v>
      </c>
      <c r="AY36" s="51">
        <f t="shared" si="6"/>
        <v>11.947399365535674</v>
      </c>
      <c r="AZ36" s="51">
        <f t="shared" si="6"/>
        <v>12.085213980620827</v>
      </c>
      <c r="BA36" s="51">
        <f t="shared" si="6"/>
        <v>12.22367632439688</v>
      </c>
      <c r="BB36" s="51">
        <f t="shared" si="6"/>
        <v>12.362789441188687</v>
      </c>
      <c r="BC36" s="51">
        <f t="shared" si="6"/>
        <v>12.502556389629406</v>
      </c>
      <c r="BD36" s="51">
        <f t="shared" si="6"/>
        <v>12.642980242727804</v>
      </c>
      <c r="BE36" s="51">
        <f t="shared" si="6"/>
        <v>12.784064087935761</v>
      </c>
      <c r="BF36" s="51">
        <f t="shared" si="6"/>
        <v>12.9258110272162</v>
      </c>
      <c r="BG36" s="51">
        <f t="shared" si="6"/>
        <v>13.068224177111254</v>
      </c>
      <c r="BH36" s="51">
        <f>BH33*0.34</f>
        <v>0</v>
      </c>
    </row>
    <row r="37" spans="1:60" ht="15" hidden="1" customHeight="1" outlineLevel="1" x14ac:dyDescent="0.25">
      <c r="A37" s="1823">
        <f>C37*1000000/$C$16</f>
        <v>41.391686982404281</v>
      </c>
      <c r="B37" s="1847" t="s">
        <v>1013</v>
      </c>
      <c r="C37" s="1808">
        <f>SUMIF($D$15:$BG$15,1,D37:BG37)</f>
        <v>227.42433481938525</v>
      </c>
      <c r="D37" s="1804">
        <f t="shared" ref="D37:AJ37" si="7">NPV($C$8,D36:D36)</f>
        <v>0</v>
      </c>
      <c r="E37" s="51">
        <f t="shared" si="7"/>
        <v>0</v>
      </c>
      <c r="F37" s="51">
        <f t="shared" si="7"/>
        <v>0</v>
      </c>
      <c r="G37" s="51">
        <f t="shared" si="7"/>
        <v>6.2137667342102816</v>
      </c>
      <c r="H37" s="51">
        <f t="shared" si="7"/>
        <v>6.317385359919693</v>
      </c>
      <c r="I37" s="51">
        <f t="shared" si="7"/>
        <v>6.4214909931699458</v>
      </c>
      <c r="J37" s="51">
        <f t="shared" si="7"/>
        <v>6.5260859228964678</v>
      </c>
      <c r="K37" s="51">
        <f t="shared" si="7"/>
        <v>6.6311724487927117</v>
      </c>
      <c r="L37" s="51">
        <f t="shared" si="7"/>
        <v>6.736752881360669</v>
      </c>
      <c r="M37" s="51">
        <f t="shared" si="7"/>
        <v>6.8428295419616889</v>
      </c>
      <c r="N37" s="51">
        <f t="shared" si="7"/>
        <v>6.9494047628675411</v>
      </c>
      <c r="O37" s="51">
        <f t="shared" si="7"/>
        <v>7.0564808873116389</v>
      </c>
      <c r="P37" s="51">
        <f t="shared" si="7"/>
        <v>7.1640602695406308</v>
      </c>
      <c r="Q37" s="51">
        <f t="shared" si="7"/>
        <v>7.2721452748660997</v>
      </c>
      <c r="R37" s="51">
        <f t="shared" si="7"/>
        <v>7.3807382797165948</v>
      </c>
      <c r="S37" s="51">
        <f t="shared" si="7"/>
        <v>7.1640602695406308</v>
      </c>
      <c r="T37" s="51">
        <f t="shared" si="7"/>
        <v>7.2721452748660997</v>
      </c>
      <c r="U37" s="51">
        <f t="shared" si="7"/>
        <v>7.3807382797165948</v>
      </c>
      <c r="V37" s="51">
        <f t="shared" si="7"/>
        <v>7.4898416716898941</v>
      </c>
      <c r="W37" s="51">
        <f t="shared" si="7"/>
        <v>7.5994578496054617</v>
      </c>
      <c r="X37" s="51">
        <f t="shared" si="7"/>
        <v>7.7095892235572334</v>
      </c>
      <c r="Y37" s="51">
        <f t="shared" si="7"/>
        <v>7.8202382149665759</v>
      </c>
      <c r="Z37" s="51">
        <f t="shared" si="7"/>
        <v>7.931407256635552</v>
      </c>
      <c r="AA37" s="51">
        <f t="shared" si="7"/>
        <v>8.043098792800361</v>
      </c>
      <c r="AB37" s="51">
        <f t="shared" si="7"/>
        <v>8.1553152791851478</v>
      </c>
      <c r="AC37" s="51">
        <f t="shared" si="7"/>
        <v>8.2680591830559482</v>
      </c>
      <c r="AD37" s="51">
        <f t="shared" si="7"/>
        <v>8.3813329832749375</v>
      </c>
      <c r="AE37" s="51">
        <f t="shared" si="7"/>
        <v>8.4951391703549533</v>
      </c>
      <c r="AF37" s="51">
        <f t="shared" si="7"/>
        <v>8.6094802465142504</v>
      </c>
      <c r="AG37" s="51">
        <f t="shared" si="7"/>
        <v>8.7243587257314914</v>
      </c>
      <c r="AH37" s="51">
        <f t="shared" si="7"/>
        <v>8.8397771338010536</v>
      </c>
      <c r="AI37" s="51">
        <f t="shared" si="7"/>
        <v>8.9557380083885416</v>
      </c>
      <c r="AJ37" s="1739">
        <f t="shared" si="7"/>
        <v>9.0722438990866046</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25">
      <c r="A39" s="1823">
        <f>C39*1000000/$C$16</f>
        <v>-2.6422080328173707</v>
      </c>
      <c r="B39" s="1794" t="s">
        <v>1002</v>
      </c>
      <c r="C39" s="1809">
        <f>SUMIF($D$15:$BG$15,1,D39:BG39)</f>
        <v>-14.517465900178756</v>
      </c>
      <c r="D39" s="1804">
        <f>'C-FCL Real'!C156</f>
        <v>-105.84375492912827</v>
      </c>
      <c r="E39" s="51">
        <f>'C-FCL Real'!D156</f>
        <v>-264.9642346877194</v>
      </c>
      <c r="F39" s="51">
        <f>'C-FCL Real'!E156</f>
        <v>-167.58096878158625</v>
      </c>
      <c r="G39" s="51">
        <f>'C-FCL Real'!F156</f>
        <v>13.236858309766939</v>
      </c>
      <c r="H39" s="51">
        <f>'C-FCL Real'!G156</f>
        <v>13.457591582423749</v>
      </c>
      <c r="I39" s="51">
        <f>'C-FCL Real'!H156</f>
        <v>13.679362301462062</v>
      </c>
      <c r="J39" s="51">
        <f>'C-FCL Real'!I156</f>
        <v>13.902175342879838</v>
      </c>
      <c r="K39" s="51">
        <f>'C-FCL Real'!J156</f>
        <v>14.126035605592294</v>
      </c>
      <c r="L39" s="51">
        <f>'C-FCL Real'!K156</f>
        <v>14.350948011539501</v>
      </c>
      <c r="M39" s="51">
        <f>'C-FCL Real'!L156</f>
        <v>14.576917505794647</v>
      </c>
      <c r="N39" s="51">
        <f>'C-FCL Real'!M156</f>
        <v>14.803949056672806</v>
      </c>
      <c r="O39" s="51">
        <f>'C-FCL Real'!N156</f>
        <v>15.032047655840067</v>
      </c>
      <c r="P39" s="51">
        <f>'C-FCL Real'!O156</f>
        <v>15.261218318423431</v>
      </c>
      <c r="Q39" s="51">
        <f>'C-FCL Real'!P156</f>
        <v>15.491466083120935</v>
      </c>
      <c r="R39" s="51">
        <f>'C-FCL Real'!Q156</f>
        <v>15.722796012312511</v>
      </c>
      <c r="S39" s="51">
        <f>'C-FCL Real'!O156</f>
        <v>15.261218318423431</v>
      </c>
      <c r="T39" s="51">
        <f>'C-FCL Real'!P156</f>
        <v>15.491466083120935</v>
      </c>
      <c r="U39" s="51">
        <f>'C-FCL Real'!Q156</f>
        <v>15.722796012312511</v>
      </c>
      <c r="V39" s="51">
        <f>'C-FCL Real'!R156</f>
        <v>15.955213192171303</v>
      </c>
      <c r="W39" s="51">
        <f>'C-FCL Real'!S156</f>
        <v>16.188722732775418</v>
      </c>
      <c r="X39" s="51">
        <f>'C-FCL Real'!T156</f>
        <v>16.423329768220373</v>
      </c>
      <c r="Y39" s="51">
        <f>'C-FCL Real'!U156</f>
        <v>16.659039456731914</v>
      </c>
      <c r="Z39" s="51">
        <f>'C-FCL Real'!V156</f>
        <v>16.895856980779481</v>
      </c>
      <c r="AA39" s="51">
        <f>'C-FCL Real'!W156</f>
        <v>17.133787547190046</v>
      </c>
      <c r="AB39" s="51">
        <f>'C-FCL Real'!X156</f>
        <v>17.372836387262751</v>
      </c>
      <c r="AC39" s="51">
        <f>'C-FCL Real'!Y156</f>
        <v>17.613008756883808</v>
      </c>
      <c r="AD39" s="51">
        <f>'C-FCL Real'!Z156</f>
        <v>17.854309936642075</v>
      </c>
      <c r="AE39" s="51">
        <f>'C-FCL Real'!AA156</f>
        <v>18.096745231945196</v>
      </c>
      <c r="AF39" s="51">
        <f>'C-FCL Real'!AB156</f>
        <v>18.340319973136253</v>
      </c>
      <c r="AG39" s="51">
        <f>'C-FCL Real'!AC156</f>
        <v>18.585039515610902</v>
      </c>
      <c r="AH39" s="51">
        <f>'C-FCL Real'!AD156</f>
        <v>18.830909239935181</v>
      </c>
      <c r="AI39" s="51">
        <f>'C-FCL Real'!AE156</f>
        <v>19.077934551963782</v>
      </c>
      <c r="AJ39" s="1739">
        <f>'C-FCL Real'!AF156</f>
        <v>19.32612088295895</v>
      </c>
      <c r="AK39" s="51">
        <f>'C-FCL Real'!AG156</f>
        <v>19.575473689709757</v>
      </c>
      <c r="AL39" s="51">
        <f>'C-FCL Real'!AH156</f>
        <v>19.825998454652314</v>
      </c>
      <c r="AM39" s="51">
        <f>'C-FCL Real'!AI156</f>
        <v>20.077700685990092</v>
      </c>
      <c r="AN39" s="51">
        <f>'C-FCL Real'!AJ156</f>
        <v>20.330585917815153</v>
      </c>
      <c r="AO39" s="51">
        <f>'C-FCL Real'!AK156</f>
        <v>20.584659710229804</v>
      </c>
      <c r="AP39" s="51">
        <f>'C-FCL Real'!AL156</f>
        <v>20.839927649468802</v>
      </c>
      <c r="AQ39" s="51">
        <f>'C-FCL Real'!AM156</f>
        <v>21.09639534802221</v>
      </c>
      <c r="AR39" s="51">
        <f>'C-FCL Real'!AN156</f>
        <v>21.35406844475883</v>
      </c>
      <c r="AS39" s="51">
        <f>'C-FCL Real'!AO156</f>
        <v>21.612952605050104</v>
      </c>
      <c r="AT39" s="51">
        <f>'C-FCL Real'!AP156</f>
        <v>21.87305352089475</v>
      </c>
      <c r="AU39" s="51">
        <f>'C-FCL Real'!AQ156</f>
        <v>22.134376911043876</v>
      </c>
      <c r="AV39" s="51">
        <f>'C-FCL Real'!AR156</f>
        <v>22.3969285211267</v>
      </c>
      <c r="AW39" s="51">
        <f>'C-FCL Real'!AS156</f>
        <v>22.660714123776906</v>
      </c>
      <c r="AX39" s="51">
        <f>'C-FCL Real'!AT156</f>
        <v>22.925739518759585</v>
      </c>
      <c r="AY39" s="51">
        <f>'C-FCL Real'!AU156</f>
        <v>23.19201053309866</v>
      </c>
      <c r="AZ39" s="51">
        <f>'C-FCL Real'!AV156</f>
        <v>23.459533021205136</v>
      </c>
      <c r="BA39" s="51">
        <f>'C-FCL Real'!AW156</f>
        <v>23.728312865005709</v>
      </c>
      <c r="BB39" s="51">
        <f>'C-FCL Real'!AX156</f>
        <v>23.998355974072158</v>
      </c>
      <c r="BC39" s="51">
        <f>'C-FCL Real'!AY156</f>
        <v>24.269668285751202</v>
      </c>
      <c r="BD39" s="51">
        <f>'C-FCL Real'!AZ156</f>
        <v>24.542255765295145</v>
      </c>
      <c r="BE39" s="51">
        <f>'C-FCL Real'!BA156</f>
        <v>24.816124405992948</v>
      </c>
      <c r="BF39" s="51">
        <f>'C-FCL Real'!BB156</f>
        <v>25.091280229302036</v>
      </c>
      <c r="BG39" s="51">
        <f>'C-FCL Real'!BC156</f>
        <v>25.367729284980669</v>
      </c>
      <c r="BH39" s="51">
        <f>'C-FCL Real'!BD156</f>
        <v>0</v>
      </c>
    </row>
    <row r="40" spans="1:60" ht="15" hidden="1" customHeight="1" outlineLevel="1" x14ac:dyDescent="0.25">
      <c r="A40" s="1823">
        <f>C40*1000000/$C$16</f>
        <v>-5.6958079845353833</v>
      </c>
      <c r="B40" s="1847" t="s">
        <v>1015</v>
      </c>
      <c r="C40" s="1808">
        <f>SUMIF($D$15:$BG$15,1,D40:BG40)</f>
        <v>-31.295301945353579</v>
      </c>
      <c r="D40" s="1804">
        <f t="shared" ref="D40:AK40" si="8">NPV($C$8,D39:D39)</f>
        <v>-96.449567094157345</v>
      </c>
      <c r="E40" s="51">
        <f t="shared" si="8"/>
        <v>-241.44727053737873</v>
      </c>
      <c r="F40" s="51">
        <f t="shared" si="8"/>
        <v>-152.70727973536199</v>
      </c>
      <c r="G40" s="51">
        <f t="shared" si="8"/>
        <v>12.062017778172899</v>
      </c>
      <c r="H40" s="51">
        <f t="shared" si="8"/>
        <v>12.263159816314698</v>
      </c>
      <c r="I40" s="51">
        <f t="shared" si="8"/>
        <v>12.465247222035778</v>
      </c>
      <c r="J40" s="51">
        <f t="shared" si="8"/>
        <v>12.668284438563731</v>
      </c>
      <c r="K40" s="51">
        <f t="shared" si="8"/>
        <v>12.872275930009382</v>
      </c>
      <c r="L40" s="51">
        <f t="shared" si="8"/>
        <v>13.077226181464827</v>
      </c>
      <c r="M40" s="51">
        <f t="shared" si="8"/>
        <v>13.283139699102103</v>
      </c>
      <c r="N40" s="51">
        <f t="shared" si="8"/>
        <v>13.490021010272287</v>
      </c>
      <c r="O40" s="51">
        <f t="shared" si="8"/>
        <v>13.697874663604946</v>
      </c>
      <c r="P40" s="51">
        <f t="shared" si="8"/>
        <v>13.906705229108285</v>
      </c>
      <c r="Q40" s="51">
        <f t="shared" si="8"/>
        <v>14.116517298269487</v>
      </c>
      <c r="R40" s="51">
        <f t="shared" si="8"/>
        <v>14.327315484155742</v>
      </c>
      <c r="S40" s="51">
        <f t="shared" si="8"/>
        <v>13.906705229108285</v>
      </c>
      <c r="T40" s="51">
        <f t="shared" si="8"/>
        <v>14.116517298269487</v>
      </c>
      <c r="U40" s="51">
        <f t="shared" si="8"/>
        <v>14.327315484155742</v>
      </c>
      <c r="V40" s="51">
        <f t="shared" si="8"/>
        <v>14.539104421515678</v>
      </c>
      <c r="W40" s="51">
        <f t="shared" si="8"/>
        <v>14.751888766881191</v>
      </c>
      <c r="X40" s="51">
        <f t="shared" si="8"/>
        <v>14.965673198669924</v>
      </c>
      <c r="Y40" s="51">
        <f t="shared" si="8"/>
        <v>15.180462417288059</v>
      </c>
      <c r="Z40" s="51">
        <f t="shared" si="8"/>
        <v>15.396261145233717</v>
      </c>
      <c r="AA40" s="51">
        <f t="shared" si="8"/>
        <v>15.613074127200699</v>
      </c>
      <c r="AB40" s="51">
        <f t="shared" si="8"/>
        <v>15.830906130182935</v>
      </c>
      <c r="AC40" s="51">
        <f t="shared" si="8"/>
        <v>16.049761943579195</v>
      </c>
      <c r="AD40" s="51">
        <f t="shared" si="8"/>
        <v>16.269646379298411</v>
      </c>
      <c r="AE40" s="51">
        <f t="shared" si="8"/>
        <v>16.490564271865498</v>
      </c>
      <c r="AF40" s="51">
        <f t="shared" si="8"/>
        <v>16.712520478527662</v>
      </c>
      <c r="AG40" s="51">
        <f t="shared" si="8"/>
        <v>16.935519879361127</v>
      </c>
      <c r="AH40" s="51">
        <f t="shared" si="8"/>
        <v>17.159567377378515</v>
      </c>
      <c r="AI40" s="51">
        <f t="shared" si="8"/>
        <v>17.384667898636579</v>
      </c>
      <c r="AJ40" s="1739">
        <f t="shared" si="8"/>
        <v>17.610826392344588</v>
      </c>
      <c r="AK40" s="51">
        <f t="shared" si="8"/>
        <v>17.83804783097299</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25">
      <c r="A42" s="1823">
        <f>A24+A27+A30</f>
        <v>480.57806703035135</v>
      </c>
      <c r="B42" s="1793" t="s">
        <v>1003</v>
      </c>
      <c r="C42" s="1810"/>
      <c r="D42" s="1804">
        <f>'C-FCL Real'!C157</f>
        <v>-105.84375492912827</v>
      </c>
      <c r="E42" s="51">
        <f>'C-FCL Real'!D157</f>
        <v>-370.80798961684764</v>
      </c>
      <c r="F42" s="51">
        <f>'C-FCL Real'!E157</f>
        <v>-538.38895839843394</v>
      </c>
      <c r="G42" s="51">
        <f>'C-FCL Real'!F157</f>
        <v>-525.152100088667</v>
      </c>
      <c r="H42" s="51">
        <f>'C-FCL Real'!G157</f>
        <v>-511.69450850624327</v>
      </c>
      <c r="I42" s="51">
        <f>'C-FCL Real'!H157</f>
        <v>-498.01514620478122</v>
      </c>
      <c r="J42" s="51">
        <f>'C-FCL Real'!I157</f>
        <v>-484.11297086190137</v>
      </c>
      <c r="K42" s="51">
        <f>'C-FCL Real'!J157</f>
        <v>-469.9869352563091</v>
      </c>
      <c r="L42" s="51">
        <f>'C-FCL Real'!K157</f>
        <v>-455.63598724476958</v>
      </c>
      <c r="M42" s="51">
        <f>'C-FCL Real'!L157</f>
        <v>-441.05906973897493</v>
      </c>
      <c r="N42" s="51">
        <f>'C-FCL Real'!M157</f>
        <v>-426.25512068230211</v>
      </c>
      <c r="O42" s="51">
        <f>'C-FCL Real'!N157</f>
        <v>-411.22307302646203</v>
      </c>
      <c r="P42" s="51">
        <f>'C-FCL Real'!O157</f>
        <v>-395.96185470803857</v>
      </c>
      <c r="Q42" s="51">
        <f>'C-FCL Real'!P157</f>
        <v>-380.47038862491763</v>
      </c>
      <c r="R42" s="51">
        <f>'C-FCL Real'!Q157</f>
        <v>-364.7475926126051</v>
      </c>
      <c r="S42" s="51">
        <f>'C-FCL Real'!O157</f>
        <v>-395.96185470803857</v>
      </c>
      <c r="T42" s="51">
        <f>'C-FCL Real'!P157</f>
        <v>-380.47038862491763</v>
      </c>
      <c r="U42" s="51">
        <f>'C-FCL Real'!Q157</f>
        <v>-364.7475926126051</v>
      </c>
      <c r="V42" s="51">
        <f>'C-FCL Real'!R157</f>
        <v>-348.7923794204338</v>
      </c>
      <c r="W42" s="51">
        <f>'C-FCL Real'!S157</f>
        <v>-332.60365668765837</v>
      </c>
      <c r="X42" s="51">
        <f>'C-FCL Real'!T157</f>
        <v>-316.18032691943802</v>
      </c>
      <c r="Y42" s="51">
        <f>'C-FCL Real'!U157</f>
        <v>-299.52128746270608</v>
      </c>
      <c r="Z42" s="51">
        <f>'C-FCL Real'!V157</f>
        <v>-282.62543048192663</v>
      </c>
      <c r="AA42" s="51">
        <f>'C-FCL Real'!W157</f>
        <v>-265.4916429347366</v>
      </c>
      <c r="AB42" s="51">
        <f>'C-FCL Real'!X157</f>
        <v>-248.11880654747387</v>
      </c>
      <c r="AC42" s="51">
        <f>'C-FCL Real'!Y157</f>
        <v>-230.50579779059007</v>
      </c>
      <c r="AD42" s="51">
        <f>'C-FCL Real'!Z157</f>
        <v>-212.651487853948</v>
      </c>
      <c r="AE42" s="51">
        <f>'C-FCL Real'!AA157</f>
        <v>-194.55474262200281</v>
      </c>
      <c r="AF42" s="51">
        <f>'C-FCL Real'!AB157</f>
        <v>-176.21442264886656</v>
      </c>
      <c r="AG42" s="51">
        <f>'C-FCL Real'!AC157</f>
        <v>-157.62938313325566</v>
      </c>
      <c r="AH42" s="51">
        <f>'C-FCL Real'!AD157</f>
        <v>-138.79847389332048</v>
      </c>
      <c r="AI42" s="51">
        <f>'C-FCL Real'!AE157</f>
        <v>-119.7205393413567</v>
      </c>
      <c r="AJ42" s="1739">
        <f>'C-FCL Real'!AF157</f>
        <v>-100.39441845839775</v>
      </c>
      <c r="AK42" s="51">
        <f>'C-FCL Real'!AG157</f>
        <v>-80.818944768687999</v>
      </c>
      <c r="AL42" s="51">
        <f>'C-FCL Real'!AH157</f>
        <v>-60.992946314035684</v>
      </c>
      <c r="AM42" s="51">
        <f>'C-FCL Real'!AI157</f>
        <v>-40.915245628045597</v>
      </c>
      <c r="AN42" s="51">
        <f>'C-FCL Real'!AJ157</f>
        <v>-20.584659710230444</v>
      </c>
      <c r="AO42" s="51">
        <f>'C-FCL Real'!AK157</f>
        <v>-6.3948846218409017E-13</v>
      </c>
      <c r="AP42" s="51">
        <f>'C-FCL Real'!AL157</f>
        <v>20.839927649468162</v>
      </c>
      <c r="AQ42" s="51">
        <f>'C-FCL Real'!AM157</f>
        <v>41.936322997490372</v>
      </c>
      <c r="AR42" s="51">
        <f>'C-FCL Real'!AN157</f>
        <v>63.290391442249202</v>
      </c>
      <c r="AS42" s="51">
        <f>'C-FCL Real'!AO157</f>
        <v>84.903344047299299</v>
      </c>
      <c r="AT42" s="51">
        <f>'C-FCL Real'!AP157</f>
        <v>106.77639756819406</v>
      </c>
      <c r="AU42" s="51">
        <f>'C-FCL Real'!AQ157</f>
        <v>128.91077447923794</v>
      </c>
      <c r="AV42" s="51">
        <f>'C-FCL Real'!AR157</f>
        <v>151.30770300036465</v>
      </c>
      <c r="AW42" s="51">
        <f>'C-FCL Real'!AS157</f>
        <v>173.96841712414155</v>
      </c>
      <c r="AX42" s="51">
        <f>'C-FCL Real'!AT157</f>
        <v>196.89415664290112</v>
      </c>
      <c r="AY42" s="51">
        <f>'C-FCL Real'!AU157</f>
        <v>220.08616717599978</v>
      </c>
      <c r="AZ42" s="51">
        <f>'C-FCL Real'!AV157</f>
        <v>243.54570019720492</v>
      </c>
      <c r="BA42" s="51">
        <f>'C-FCL Real'!AW157</f>
        <v>267.27401306221066</v>
      </c>
      <c r="BB42" s="51">
        <f>'C-FCL Real'!AX157</f>
        <v>291.27236903628284</v>
      </c>
      <c r="BC42" s="51">
        <f>'C-FCL Real'!AY157</f>
        <v>315.54203732203405</v>
      </c>
      <c r="BD42" s="51">
        <f>'C-FCL Real'!AZ157</f>
        <v>340.08429308732917</v>
      </c>
      <c r="BE42" s="51">
        <f>'C-FCL Real'!BA157</f>
        <v>364.9004174933221</v>
      </c>
      <c r="BF42" s="51">
        <f>'C-FCL Real'!BB157</f>
        <v>389.99169772262411</v>
      </c>
      <c r="BG42" s="51">
        <f>'C-FCL Real'!BC157</f>
        <v>415.35942700760478</v>
      </c>
      <c r="BH42" s="51">
        <f>'C-FCL Real'!BD157</f>
        <v>0</v>
      </c>
    </row>
    <row r="43" spans="1:60" ht="15" hidden="1" customHeight="1" outlineLevel="1" x14ac:dyDescent="0.25">
      <c r="A43" s="1823">
        <f>A18+A21+A36</f>
        <v>483.22027506316851</v>
      </c>
      <c r="B43" s="1793" t="s">
        <v>1042</v>
      </c>
      <c r="C43" s="1811">
        <f>'R&amp;C-Painel de Controle'!D32</f>
        <v>35</v>
      </c>
      <c r="D43" s="1796" t="s">
        <v>309</v>
      </c>
    </row>
    <row r="44" spans="1:60" ht="15" hidden="1" customHeight="1" outlineLevel="1" x14ac:dyDescent="0.25">
      <c r="A44" s="1823">
        <f>A42-A43</f>
        <v>-2.642208032817166</v>
      </c>
      <c r="B44" s="1793" t="s">
        <v>1024</v>
      </c>
      <c r="C44" s="1727"/>
      <c r="D44" s="1192"/>
      <c r="F44" s="1733"/>
      <c r="G44" s="1733"/>
    </row>
    <row r="45" spans="1:60" s="1783" customFormat="1" ht="15" hidden="1" customHeight="1" outlineLevel="1" x14ac:dyDescent="0.25">
      <c r="A45" s="1823"/>
      <c r="B45" s="1793"/>
      <c r="C45" s="1841"/>
      <c r="D45" s="1192"/>
      <c r="F45" s="1733"/>
      <c r="G45" s="1733"/>
      <c r="AI45" s="383"/>
    </row>
    <row r="46" spans="1:60" ht="15" hidden="1" customHeight="1" outlineLevel="1" x14ac:dyDescent="0.25">
      <c r="B46" s="1738" t="s">
        <v>1021</v>
      </c>
      <c r="C46" s="1809">
        <f>F46*$C$16/1000000</f>
        <v>2569.8784075363296</v>
      </c>
      <c r="D46" s="1758" t="s">
        <v>1061</v>
      </c>
      <c r="E46" s="1758"/>
      <c r="F46" s="1775">
        <f>A27</f>
        <v>467.72304604984777</v>
      </c>
      <c r="G46" s="1758" t="s">
        <v>342</v>
      </c>
      <c r="H46" s="1758"/>
    </row>
    <row r="47" spans="1:60" ht="15" hidden="1" customHeight="1" outlineLevel="1" x14ac:dyDescent="0.25">
      <c r="B47" s="1869" t="s">
        <v>1022</v>
      </c>
      <c r="C47" s="1870">
        <f>F47*$C$16/1000000</f>
        <v>0</v>
      </c>
      <c r="D47" s="1871" t="s">
        <v>1061</v>
      </c>
      <c r="E47" s="1871"/>
      <c r="F47" s="1872">
        <f>A24</f>
        <v>0</v>
      </c>
      <c r="G47" s="1871" t="s">
        <v>342</v>
      </c>
      <c r="H47" s="1871"/>
    </row>
    <row r="48" spans="1:60" ht="15" hidden="1" customHeight="1" outlineLevel="1" thickBot="1" x14ac:dyDescent="0.3">
      <c r="B48" s="1738" t="s">
        <v>1023</v>
      </c>
      <c r="C48" s="1809">
        <f>F48*$C$16/1000000</f>
        <v>70.631201787525157</v>
      </c>
      <c r="D48" s="1758" t="s">
        <v>1061</v>
      </c>
      <c r="E48" s="1758"/>
      <c r="F48" s="1775">
        <f>A30</f>
        <v>12.855020980503609</v>
      </c>
      <c r="G48" s="1758" t="s">
        <v>342</v>
      </c>
      <c r="H48" s="1758"/>
    </row>
    <row r="49" spans="1:35" s="42" customFormat="1" ht="15" hidden="1" customHeight="1" outlineLevel="1" thickTop="1" x14ac:dyDescent="0.25">
      <c r="A49" s="1740"/>
      <c r="B49" s="1759" t="s">
        <v>1025</v>
      </c>
      <c r="C49" s="1777">
        <f>C46+C47+C48</f>
        <v>2640.5096093238549</v>
      </c>
      <c r="D49" s="1760" t="s">
        <v>1061</v>
      </c>
      <c r="E49" s="1760"/>
      <c r="F49" s="1761">
        <f>F46+F47+F48</f>
        <v>480.57806703035135</v>
      </c>
      <c r="G49" s="1760" t="s">
        <v>342</v>
      </c>
      <c r="H49" s="1760"/>
      <c r="AI49" s="1740"/>
    </row>
    <row r="50" spans="1:35" ht="15" hidden="1" customHeight="1" outlineLevel="1" x14ac:dyDescent="0.25">
      <c r="B50" s="1869" t="s">
        <v>1027</v>
      </c>
      <c r="C50" s="1870">
        <f>F50*$C$16/1000000</f>
        <v>2385.1538821188701</v>
      </c>
      <c r="D50" s="1871" t="s">
        <v>1061</v>
      </c>
      <c r="E50" s="1871"/>
      <c r="F50" s="1872">
        <f>A18+A21</f>
        <v>434.1028103783882</v>
      </c>
      <c r="G50" s="1871" t="s">
        <v>342</v>
      </c>
      <c r="H50" s="1871"/>
    </row>
    <row r="51" spans="1:35" ht="15" hidden="1" customHeight="1" outlineLevel="1" x14ac:dyDescent="0.25">
      <c r="B51" s="1738" t="s">
        <v>1028</v>
      </c>
      <c r="C51" s="1821">
        <f>F51*$C$16/1000000</f>
        <v>269.87319310516182</v>
      </c>
      <c r="D51" s="1758" t="s">
        <v>1061</v>
      </c>
      <c r="E51" s="1758"/>
      <c r="F51" s="1776">
        <f>A36</f>
        <v>49.117464684780288</v>
      </c>
      <c r="G51" s="1758" t="s">
        <v>342</v>
      </c>
      <c r="H51" s="1758"/>
    </row>
    <row r="52" spans="1:35" s="1735" customFormat="1" ht="15" hidden="1" customHeight="1" outlineLevel="1" thickBot="1" x14ac:dyDescent="0.3">
      <c r="A52" s="1745"/>
      <c r="B52" s="1799"/>
      <c r="C52" s="1820"/>
      <c r="D52" s="1770"/>
      <c r="E52" s="1770"/>
      <c r="F52" s="1770"/>
      <c r="G52" s="1770"/>
      <c r="H52" s="1770"/>
      <c r="AI52" s="1745"/>
    </row>
    <row r="53" spans="1:35" s="45" customFormat="1" ht="15" hidden="1" customHeight="1" outlineLevel="1" thickTop="1" x14ac:dyDescent="0.25">
      <c r="A53" s="925"/>
      <c r="B53" s="1843" t="s">
        <v>1026</v>
      </c>
      <c r="C53" s="1844">
        <f>C49-C50-C51</f>
        <v>-14.517465900177058</v>
      </c>
      <c r="D53" s="1845" t="s">
        <v>1061</v>
      </c>
      <c r="E53" s="1845"/>
      <c r="F53" s="1846">
        <f>F49-F50-F51</f>
        <v>-2.6422080328171376</v>
      </c>
      <c r="G53" s="1845" t="s">
        <v>342</v>
      </c>
      <c r="H53" s="1845"/>
      <c r="AI53" s="925"/>
    </row>
    <row r="54" spans="1:35" s="1783" customFormat="1" ht="15" customHeight="1" thickTop="1" thickBot="1" x14ac:dyDescent="0.3">
      <c r="A54" s="1823"/>
      <c r="B54" s="1793"/>
      <c r="C54" s="1841"/>
      <c r="D54" s="1192"/>
      <c r="F54" s="1733"/>
      <c r="G54" s="1733"/>
      <c r="AI54" s="383"/>
    </row>
    <row r="55" spans="1:35" s="1768" customFormat="1" ht="25.15" customHeight="1" collapsed="1" thickTop="1" thickBot="1" x14ac:dyDescent="0.3">
      <c r="A55" s="1769"/>
      <c r="B55" s="2397" t="s">
        <v>1082</v>
      </c>
      <c r="C55" s="2398"/>
      <c r="D55" s="2398"/>
      <c r="E55" s="2398"/>
      <c r="F55" s="2398"/>
      <c r="G55" s="2398"/>
      <c r="H55" s="2399"/>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14718127.438751709</v>
      </c>
      <c r="D57" s="1752" t="s">
        <v>1016</v>
      </c>
      <c r="E57" s="1752"/>
      <c r="F57" s="1753">
        <f>C57/'R&amp;C-Painel de Controle'!$D$8</f>
        <v>100.80909204624459</v>
      </c>
      <c r="G57" s="1752" t="s">
        <v>342</v>
      </c>
      <c r="H57" s="1754">
        <f>F57/$F$99</f>
        <v>0.28847048419790655</v>
      </c>
      <c r="AI57" s="925"/>
    </row>
    <row r="58" spans="1:35" s="1735" customFormat="1" ht="15" hidden="1" customHeight="1" outlineLevel="1" x14ac:dyDescent="0.25">
      <c r="A58" s="1745"/>
      <c r="B58" s="1747" t="s">
        <v>1034</v>
      </c>
      <c r="C58" s="1813">
        <f>('R&amp;C-Painel de Controle'!D8-'R&amp;C-Painel de Controle'!D9)</f>
        <v>117091.08749999999</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125.69810181967701</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4995678.745535979</v>
      </c>
      <c r="D61" s="1849" t="s">
        <v>1016</v>
      </c>
      <c r="E61" s="1849"/>
      <c r="F61" s="1850">
        <f>C61/'R&amp;C-Painel de Controle'!$D$8</f>
        <v>34.216977709150541</v>
      </c>
      <c r="G61" s="1849" t="s">
        <v>342</v>
      </c>
      <c r="H61" s="1851">
        <f>F61/$F$99</f>
        <v>9.7913669562857034E-2</v>
      </c>
      <c r="AI61" s="925"/>
    </row>
    <row r="62" spans="1:35" s="1735" customFormat="1" ht="15" hidden="1" customHeight="1" outlineLevel="1" x14ac:dyDescent="0.25">
      <c r="A62" s="1745"/>
      <c r="B62" s="1741" t="str">
        <f>'R&amp;C-Painel de Controle'!J36</f>
        <v>Mat. Recicl.: Papel/Papelão — Triagem Mecanizada</v>
      </c>
      <c r="C62" s="1816">
        <f>'R&amp;C-Painel de Controle'!L36</f>
        <v>648.00727901853816</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440.24922009656404</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227.54454072406682</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118.71889081255662</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Controle'!L40+'R&amp;C-Painel de Controle'!L42</f>
        <v>768.90767037144508</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Controle'!L41+'R&amp;C-Painel de Controle'!L43</f>
        <v>2947.4794030905396</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5018193.3342433963</v>
      </c>
      <c r="D78" s="1758" t="s">
        <v>1016</v>
      </c>
      <c r="E78" s="1758"/>
      <c r="F78" s="1776">
        <f>C78/'R&amp;C-Painel de Controle'!$D$8</f>
        <v>34.371187220845179</v>
      </c>
      <c r="G78" s="1758" t="s">
        <v>342</v>
      </c>
      <c r="H78" s="1852">
        <f>F78/$F$99</f>
        <v>9.8354948138067971E-2</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7025470.6679407544</v>
      </c>
      <c r="D79" s="1758" t="s">
        <v>1016</v>
      </c>
      <c r="E79" s="1758"/>
      <c r="F79" s="1776">
        <f>C79/'R&amp;C-Painel de Controle'!$D$8</f>
        <v>48.119662109183253</v>
      </c>
      <c r="G79" s="1758" t="s">
        <v>342</v>
      </c>
      <c r="H79" s="1852">
        <f>F79/$F$99</f>
        <v>0.13769692739329517</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4091218.5298210676</v>
      </c>
      <c r="D81" s="1855" t="s">
        <v>1016</v>
      </c>
      <c r="E81" s="1855"/>
      <c r="F81" s="1856">
        <f>C81/'R&amp;C-Painel de Controle'!$D$8</f>
        <v>28.022044724801834</v>
      </c>
      <c r="G81" s="1855" t="s">
        <v>342</v>
      </c>
      <c r="H81" s="1857">
        <f>F81/$F$99</f>
        <v>8.0186545140896459E-2</v>
      </c>
    </row>
    <row r="82" spans="1:35" ht="15" hidden="1" customHeight="1" outlineLevel="1" x14ac:dyDescent="0.25">
      <c r="B82" s="1755" t="s">
        <v>1037</v>
      </c>
      <c r="C82" s="1786">
        <f>'R&amp;C-Painel de Controle'!D8</f>
        <v>146000</v>
      </c>
      <c r="D82" s="1745" t="s">
        <v>298</v>
      </c>
      <c r="E82" s="1745"/>
      <c r="F82" s="1771"/>
      <c r="G82" s="1745"/>
      <c r="H82" s="1772"/>
    </row>
    <row r="83" spans="1:35" ht="15" hidden="1" customHeight="1" outlineLevel="1" x14ac:dyDescent="0.25">
      <c r="B83" s="1755" t="s">
        <v>1038</v>
      </c>
      <c r="C83" s="1786">
        <f>'R&amp;C-Painel de Controle'!D33</f>
        <v>545.44961638466214</v>
      </c>
      <c r="D83" s="1745" t="s">
        <v>342</v>
      </c>
      <c r="E83" s="1745"/>
      <c r="F83" s="1771"/>
      <c r="G83" s="1745"/>
      <c r="H83" s="1772"/>
    </row>
    <row r="84" spans="1:35" ht="15" hidden="1" customHeight="1" outlineLevel="1" x14ac:dyDescent="0.25">
      <c r="B84" s="1755" t="s">
        <v>1039</v>
      </c>
      <c r="C84" s="1786">
        <f>'R&amp;C-Painel de Controle'!D31*312</f>
        <v>18720</v>
      </c>
      <c r="D84" s="1745" t="s">
        <v>298</v>
      </c>
      <c r="E84" s="1745"/>
      <c r="F84" s="1771"/>
      <c r="G84" s="1745"/>
      <c r="H84" s="1772"/>
    </row>
    <row r="85" spans="1:35" ht="15" hidden="1" customHeight="1" outlineLevel="1" x14ac:dyDescent="0.25">
      <c r="B85" s="1755" t="s">
        <v>1040</v>
      </c>
      <c r="C85" s="1786">
        <f>'R&amp;C-Painel de Controle'!H31</f>
        <v>116.91915621050606</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95611.076469588123</v>
      </c>
      <c r="D88" s="1855" t="s">
        <v>1016</v>
      </c>
      <c r="E88" s="1855"/>
      <c r="F88" s="1856">
        <f>C88/'R&amp;C-Painel de Controle'!$D$8</f>
        <v>0.6548703867780008</v>
      </c>
      <c r="G88" s="1855" t="s">
        <v>342</v>
      </c>
      <c r="H88" s="1857">
        <f>F88/$F$99</f>
        <v>1.8739458289542016E-3</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15076959.729422344</v>
      </c>
      <c r="D92" s="1855" t="s">
        <v>1016</v>
      </c>
      <c r="E92" s="1858"/>
      <c r="F92" s="1859">
        <f>C92/'R&amp;C-Painel de Controle'!$D$8</f>
        <v>103.26684746179687</v>
      </c>
      <c r="G92" s="1858" t="s">
        <v>342</v>
      </c>
      <c r="H92" s="1860">
        <f>F92/$F$99</f>
        <v>0.29550347973802266</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146000</v>
      </c>
      <c r="D94" s="1745" t="s">
        <v>298</v>
      </c>
      <c r="E94" s="1745"/>
      <c r="F94" s="1771"/>
      <c r="G94" s="1745"/>
      <c r="H94" s="1772"/>
    </row>
    <row r="95" spans="1:35" ht="15" hidden="1" customHeight="1" outlineLevel="1" x14ac:dyDescent="0.25">
      <c r="B95" s="1755" t="s">
        <v>1038</v>
      </c>
      <c r="C95" s="1786">
        <f>C83</f>
        <v>545.44961638466214</v>
      </c>
      <c r="D95" s="1745" t="s">
        <v>342</v>
      </c>
      <c r="E95" s="1745"/>
      <c r="F95" s="1771"/>
      <c r="G95" s="1745"/>
      <c r="H95" s="1772"/>
    </row>
    <row r="96" spans="1:35" ht="15" hidden="1" customHeight="1" outlineLevel="1" x14ac:dyDescent="0.25">
      <c r="B96" s="1755" t="s">
        <v>1039</v>
      </c>
      <c r="C96" s="1786">
        <f>C84</f>
        <v>18720</v>
      </c>
      <c r="D96" s="1745" t="s">
        <v>298</v>
      </c>
      <c r="E96" s="1745"/>
      <c r="F96" s="1771"/>
      <c r="G96" s="1745"/>
      <c r="H96" s="1772"/>
    </row>
    <row r="97" spans="1:35" ht="15" hidden="1" customHeight="1" outlineLevel="1" x14ac:dyDescent="0.25">
      <c r="B97" s="1755" t="s">
        <v>1040</v>
      </c>
      <c r="C97" s="1786">
        <f>C85</f>
        <v>116.91915621050606</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51021259.522184834</v>
      </c>
      <c r="D99" s="1863" t="s">
        <v>1016</v>
      </c>
      <c r="E99" s="1864"/>
      <c r="F99" s="1865">
        <f>C99/'R&amp;C-Painel de Controle'!$D$8</f>
        <v>349.46068165880024</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7" t="s">
        <v>1083</v>
      </c>
      <c r="C101" s="2398"/>
      <c r="D101" s="2398"/>
      <c r="E101" s="2398"/>
      <c r="F101" s="2398"/>
      <c r="G101" s="2398"/>
      <c r="H101" s="2399"/>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146000</v>
      </c>
      <c r="D103" s="1875" t="s">
        <v>298</v>
      </c>
      <c r="E103" s="1876"/>
      <c r="F103" s="1876"/>
      <c r="G103" s="1876"/>
      <c r="H103" s="1876"/>
    </row>
    <row r="104" spans="1:35" s="1783" customFormat="1" ht="15" hidden="1" customHeight="1" outlineLevel="1" x14ac:dyDescent="0.25">
      <c r="A104" s="383"/>
      <c r="B104" s="1873" t="s">
        <v>1069</v>
      </c>
      <c r="C104" s="1874">
        <f>C103/312</f>
        <v>467.94871794871796</v>
      </c>
      <c r="D104" s="1875" t="s">
        <v>21</v>
      </c>
      <c r="E104" s="1876"/>
      <c r="F104" s="1876"/>
      <c r="G104" s="1876"/>
      <c r="H104" s="1876"/>
      <c r="AI104" s="383"/>
    </row>
    <row r="105" spans="1:35" ht="15" hidden="1" customHeight="1" outlineLevel="1" x14ac:dyDescent="0.25">
      <c r="B105" s="1877" t="s">
        <v>1071</v>
      </c>
      <c r="C105" s="1874">
        <f>'R&amp;C-Painel de Controle'!D48</f>
        <v>158291.85441674214</v>
      </c>
      <c r="D105" s="1875" t="s">
        <v>298</v>
      </c>
      <c r="E105" s="1876"/>
      <c r="F105" s="1876"/>
      <c r="G105" s="1876"/>
      <c r="H105" s="1876"/>
    </row>
    <row r="106" spans="1:35" s="1783" customFormat="1" ht="15" hidden="1" customHeight="1" outlineLevel="1" x14ac:dyDescent="0.25">
      <c r="A106" s="383"/>
      <c r="B106" s="1877" t="s">
        <v>1086</v>
      </c>
      <c r="C106" s="1874">
        <f>C105/312</f>
        <v>507.34568723314788</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14402.973379667666</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360.06462959023764</v>
      </c>
      <c r="D112" s="1884" t="s">
        <v>1065</v>
      </c>
      <c r="E112" s="1885"/>
      <c r="F112" s="1885"/>
      <c r="G112" s="1885"/>
      <c r="H112" s="1885"/>
      <c r="AI112" s="1745"/>
    </row>
    <row r="113" spans="1:35" ht="15" hidden="1" customHeight="1" outlineLevel="1" x14ac:dyDescent="0.25">
      <c r="B113" s="1793"/>
      <c r="C113" s="1809">
        <f>C112*312*$C$106/$C$104/1000</f>
        <v>121.79817091402339</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92.656770833333354</v>
      </c>
      <c r="D115" s="1884" t="s">
        <v>1065</v>
      </c>
      <c r="E115" s="1885"/>
      <c r="F115" s="1885"/>
      <c r="G115" s="1885"/>
      <c r="H115" s="1885"/>
      <c r="AI115" s="1745"/>
    </row>
    <row r="116" spans="1:35" ht="15" hidden="1" customHeight="1" outlineLevel="1" x14ac:dyDescent="0.25">
      <c r="B116" s="1834"/>
      <c r="C116" s="1809">
        <f>C115*312*$C$106/$C$104/1000</f>
        <v>31.342776498605055</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15.227317525147047</v>
      </c>
      <c r="D118" s="1884" t="s">
        <v>1065</v>
      </c>
      <c r="E118" s="1885"/>
      <c r="F118" s="1885"/>
      <c r="G118" s="1885"/>
      <c r="H118" s="1885"/>
      <c r="AI118" s="1745"/>
    </row>
    <row r="119" spans="1:35" ht="15" hidden="1" customHeight="1" outlineLevel="1" thickBot="1" x14ac:dyDescent="0.3">
      <c r="B119" s="1829"/>
      <c r="C119" s="1913">
        <f>C118*312*$C$106/$C$104/1000</f>
        <v>5.1509070041137104</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3" t="s">
        <v>1075</v>
      </c>
      <c r="C121" s="1840"/>
      <c r="D121" s="1826"/>
      <c r="E121" s="1826"/>
      <c r="F121" s="1826"/>
      <c r="G121" s="1826"/>
      <c r="H121" s="1826"/>
    </row>
    <row r="122" spans="1:35" s="1783" customFormat="1" ht="15" hidden="1" customHeight="1" outlineLevel="1" x14ac:dyDescent="0.25">
      <c r="A122" s="383"/>
      <c r="B122" s="2391"/>
      <c r="C122" s="1888">
        <f>'R-Resumo Bal. Massa'!D64</f>
        <v>15.227317525147047</v>
      </c>
      <c r="D122" s="1880" t="s">
        <v>1065</v>
      </c>
      <c r="E122" s="1876"/>
      <c r="F122" s="1876"/>
      <c r="G122" s="1876"/>
      <c r="H122" s="1876"/>
      <c r="AI122" s="383"/>
    </row>
    <row r="123" spans="1:35" s="1783" customFormat="1" ht="15" hidden="1" customHeight="1" outlineLevel="1" x14ac:dyDescent="0.25">
      <c r="A123" s="383"/>
      <c r="B123" s="2392"/>
      <c r="C123" s="1809">
        <f>C122*312*$C$106/$C$104/1000</f>
        <v>5.1509070041137104</v>
      </c>
      <c r="D123" s="1827" t="s">
        <v>1063</v>
      </c>
      <c r="E123" s="1192"/>
      <c r="F123" s="1192"/>
      <c r="G123" s="1192"/>
      <c r="H123" s="1192"/>
      <c r="AI123" s="383"/>
    </row>
    <row r="124" spans="1:35" ht="15" hidden="1" customHeight="1" outlineLevel="1" x14ac:dyDescent="0.25">
      <c r="B124" s="2390" t="s">
        <v>1081</v>
      </c>
      <c r="C124" s="1839"/>
      <c r="D124" s="1833"/>
      <c r="E124" s="1833"/>
      <c r="F124" s="1833"/>
      <c r="G124" s="1833"/>
      <c r="H124" s="1833"/>
    </row>
    <row r="125" spans="1:35" s="1783" customFormat="1" ht="15" hidden="1" customHeight="1" outlineLevel="1" x14ac:dyDescent="0.25">
      <c r="A125" s="383"/>
      <c r="B125" s="2391"/>
      <c r="C125" s="1888">
        <f>'R-Resumo Bal. Massa'!D73</f>
        <v>0</v>
      </c>
      <c r="D125" s="1880" t="s">
        <v>1065</v>
      </c>
      <c r="E125" s="1876"/>
      <c r="F125" s="1876"/>
      <c r="G125" s="1876"/>
      <c r="H125" s="1876"/>
      <c r="AI125" s="383"/>
    </row>
    <row r="126" spans="1:35" s="1783" customFormat="1" ht="15" hidden="1" customHeight="1" outlineLevel="1" x14ac:dyDescent="0.25">
      <c r="A126" s="383"/>
      <c r="B126" s="2392"/>
      <c r="C126" s="1809">
        <f>C125*312*$C$106/$C$104/1000</f>
        <v>0</v>
      </c>
      <c r="D126" s="1827" t="s">
        <v>1063</v>
      </c>
      <c r="E126" s="1192"/>
      <c r="F126" s="1192"/>
      <c r="G126" s="1192"/>
      <c r="H126" s="1192"/>
      <c r="AI126" s="383"/>
    </row>
    <row r="127" spans="1:35" ht="15" hidden="1" customHeight="1" outlineLevel="1" x14ac:dyDescent="0.25">
      <c r="B127" s="2390" t="s">
        <v>1064</v>
      </c>
      <c r="C127" s="1839"/>
      <c r="D127" s="1833"/>
      <c r="E127" s="1833"/>
      <c r="F127" s="1833"/>
      <c r="G127" s="1833"/>
      <c r="H127" s="1833"/>
    </row>
    <row r="128" spans="1:35" s="1783" customFormat="1" ht="15" hidden="1" customHeight="1" outlineLevel="1" x14ac:dyDescent="0.25">
      <c r="A128" s="383"/>
      <c r="B128" s="2391"/>
      <c r="C128" s="1888">
        <f>'R-Resumo Bal. Massa'!D69</f>
        <v>0</v>
      </c>
      <c r="D128" s="1880" t="s">
        <v>1065</v>
      </c>
      <c r="E128" s="1876"/>
      <c r="F128" s="1876"/>
      <c r="G128" s="1876"/>
      <c r="H128" s="1876"/>
      <c r="AI128" s="383"/>
    </row>
    <row r="129" spans="1:35" s="1783" customFormat="1" ht="15" hidden="1" customHeight="1" outlineLevel="1" x14ac:dyDescent="0.25">
      <c r="A129" s="383"/>
      <c r="B129" s="2392"/>
      <c r="C129" s="1809">
        <f>C128*312*$C$106/$C$104/1000</f>
        <v>0</v>
      </c>
      <c r="D129" s="1835" t="s">
        <v>1063</v>
      </c>
      <c r="E129" s="1836"/>
      <c r="F129" s="1836"/>
      <c r="G129" s="1836"/>
      <c r="H129" s="1836"/>
      <c r="AI129" s="383"/>
    </row>
    <row r="130" spans="1:35" ht="15" hidden="1" customHeight="1" outlineLevel="1" x14ac:dyDescent="0.25">
      <c r="B130" s="2390" t="s">
        <v>1122</v>
      </c>
      <c r="C130" s="2100">
        <f>IF('R-Definição'!E112&gt;0,'R-Definição'!O111/'R-Definição'!E112,0)</f>
        <v>677.95413101682391</v>
      </c>
      <c r="D130" s="1796" t="s">
        <v>1121</v>
      </c>
      <c r="E130" s="1192"/>
      <c r="F130" s="1192"/>
      <c r="G130" s="1192"/>
      <c r="H130" s="1192"/>
    </row>
    <row r="131" spans="1:35" s="1783" customFormat="1" ht="15" hidden="1" customHeight="1" outlineLevel="1" x14ac:dyDescent="0.25">
      <c r="A131" s="383"/>
      <c r="B131" s="2391"/>
      <c r="C131" s="2101">
        <f>C130*C106</f>
        <v>343957.10451328213</v>
      </c>
      <c r="D131" s="1880" t="s">
        <v>1067</v>
      </c>
      <c r="E131" s="1876"/>
      <c r="F131" s="1876"/>
      <c r="G131" s="1876"/>
      <c r="H131" s="1876"/>
      <c r="AI131" s="383"/>
    </row>
    <row r="132" spans="1:35" s="1783" customFormat="1" ht="15" hidden="1" customHeight="1" outlineLevel="1" x14ac:dyDescent="0.25">
      <c r="A132" s="383"/>
      <c r="B132" s="2392"/>
      <c r="C132" s="1867">
        <f>C130*C105/1000</f>
        <v>107314.61660814402</v>
      </c>
      <c r="D132" s="1835" t="s">
        <v>306</v>
      </c>
      <c r="E132" s="1836"/>
      <c r="F132" s="1836"/>
      <c r="G132" s="1836"/>
      <c r="H132" s="1836"/>
      <c r="AI132" s="383"/>
    </row>
    <row r="133" spans="1:35" s="2099" customFormat="1" ht="15" hidden="1" customHeight="1" outlineLevel="1" x14ac:dyDescent="0.25">
      <c r="A133" s="383"/>
      <c r="B133" s="2390"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25">
      <c r="A134" s="383"/>
      <c r="B134" s="2391"/>
      <c r="C134" s="1916">
        <f>C133*C106*C107</f>
        <v>0</v>
      </c>
      <c r="D134" s="1880" t="s">
        <v>1067</v>
      </c>
      <c r="E134" s="1876"/>
      <c r="F134" s="1876"/>
      <c r="G134" s="1876"/>
      <c r="H134" s="1876"/>
      <c r="AI134" s="383"/>
    </row>
    <row r="135" spans="1:35" s="2099" customFormat="1" ht="15" hidden="1" customHeight="1" outlineLevel="1" x14ac:dyDescent="0.25">
      <c r="A135" s="383"/>
      <c r="B135" s="2392"/>
      <c r="C135" s="1867">
        <f>C133*C105*C107/1000</f>
        <v>0</v>
      </c>
      <c r="D135" s="1835" t="s">
        <v>306</v>
      </c>
      <c r="E135" s="1836"/>
      <c r="F135" s="1836"/>
      <c r="G135" s="1836"/>
      <c r="H135" s="1836"/>
      <c r="AI135" s="383"/>
    </row>
    <row r="136" spans="1:35" ht="15" hidden="1" customHeight="1" outlineLevel="1" x14ac:dyDescent="0.25">
      <c r="B136" s="2390"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25">
      <c r="A137" s="383"/>
      <c r="B137" s="2391"/>
      <c r="C137" s="1916">
        <f>C136*C106*C107</f>
        <v>0</v>
      </c>
      <c r="D137" s="1880" t="s">
        <v>1068</v>
      </c>
      <c r="E137" s="1876"/>
      <c r="F137" s="1876"/>
      <c r="G137" s="1876"/>
      <c r="H137" s="1876"/>
      <c r="AI137" s="383"/>
    </row>
    <row r="138" spans="1:35" s="1783" customFormat="1" ht="15" hidden="1" customHeight="1" outlineLevel="1" x14ac:dyDescent="0.25">
      <c r="A138" s="383"/>
      <c r="B138" s="2391"/>
      <c r="C138" s="1867">
        <f>C136*C105*C107</f>
        <v>0</v>
      </c>
      <c r="D138" s="1884" t="s">
        <v>1077</v>
      </c>
      <c r="E138" s="1876"/>
      <c r="F138" s="1876"/>
      <c r="G138" s="1876"/>
      <c r="H138" s="1876"/>
      <c r="AI138" s="383"/>
    </row>
    <row r="139" spans="1:35" ht="15" hidden="1" customHeight="1" outlineLevel="1" thickBot="1" x14ac:dyDescent="0.3">
      <c r="B139" s="1886" t="s">
        <v>1076</v>
      </c>
      <c r="C139" s="1868">
        <f>(C138*90%)/1000</f>
        <v>0</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08"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08"/>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6" t="str">
        <f>'R-Definição'!D2</f>
        <v>CIRSOP - Consórcio RSU Oeste Paulista</v>
      </c>
      <c r="R2" s="2407"/>
      <c r="S2" s="1051"/>
      <c r="T2" s="1053" t="s">
        <v>486</v>
      </c>
      <c r="U2" s="2406" t="str">
        <f>'R-Definição'!D3</f>
        <v>Biodigestão c/ Prod. E. Elétrica</v>
      </c>
      <c r="V2" s="2407"/>
      <c r="W2" s="353"/>
      <c r="X2" s="353"/>
      <c r="Y2" s="353"/>
      <c r="Z2" s="353"/>
      <c r="AA2" s="353"/>
      <c r="AB2" s="353"/>
    </row>
    <row r="3" spans="1:28" s="352" customFormat="1" ht="19.899999999999999" customHeight="1" x14ac:dyDescent="0.25">
      <c r="A3" s="478"/>
      <c r="B3" s="2408"/>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400" t="s">
        <v>691</v>
      </c>
      <c r="C9" s="1099"/>
      <c r="D9" s="2403" t="s">
        <v>696</v>
      </c>
      <c r="E9" s="2404"/>
      <c r="F9" s="2404"/>
      <c r="G9" s="2404"/>
      <c r="H9" s="2404"/>
      <c r="I9" s="2404"/>
      <c r="J9" s="2404"/>
      <c r="K9" s="2404"/>
      <c r="L9" s="2404"/>
      <c r="M9" s="2404"/>
      <c r="N9" s="2404"/>
      <c r="O9" s="2404"/>
      <c r="P9" s="2404"/>
      <c r="Q9" s="2404"/>
      <c r="R9" s="2404"/>
      <c r="S9" s="2404"/>
      <c r="T9" s="2404"/>
      <c r="U9" s="2404"/>
      <c r="V9" s="2405"/>
      <c r="W9" s="1046"/>
      <c r="X9" s="1046"/>
      <c r="Y9" s="1046"/>
      <c r="Z9" s="1046"/>
      <c r="AA9" s="1046"/>
      <c r="AB9" s="1046"/>
    </row>
    <row r="10" spans="1:28" s="352" customFormat="1" ht="7.5" customHeight="1" x14ac:dyDescent="0.25">
      <c r="A10" s="478"/>
      <c r="B10" s="2401"/>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2"/>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48"/>
      <c r="B1" s="2415"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5"/>
      <c r="C2" s="487"/>
      <c r="D2" s="1097">
        <f>('R-Resumo Bal. Massa'!B20+'R-Resumo Bal. Massa'!B21)*(1+'R&amp;C-Painel de Controle'!H56)</f>
        <v>58.493589743589752</v>
      </c>
      <c r="E2" s="1098" t="s">
        <v>21</v>
      </c>
      <c r="H2" s="1305">
        <f>D2*313</f>
        <v>18308.493589743593</v>
      </c>
      <c r="I2" s="1304" t="s">
        <v>298</v>
      </c>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row>
    <row r="3" spans="1:28" ht="19.899999999999999" customHeight="1" x14ac:dyDescent="0.25">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09" t="s">
        <v>691</v>
      </c>
      <c r="C9" s="1099"/>
      <c r="D9" s="2412" t="s">
        <v>695</v>
      </c>
      <c r="E9" s="2413"/>
      <c r="F9" s="2413"/>
      <c r="G9" s="2413"/>
      <c r="H9" s="2413"/>
      <c r="I9" s="2413"/>
      <c r="J9" s="2413"/>
      <c r="K9" s="2413"/>
      <c r="L9" s="2413"/>
      <c r="M9" s="2413"/>
      <c r="N9" s="2413"/>
      <c r="O9" s="2413"/>
      <c r="P9" s="2413"/>
      <c r="Q9" s="2413"/>
      <c r="R9" s="2413"/>
      <c r="S9" s="2413"/>
      <c r="T9" s="2413"/>
      <c r="U9" s="2413"/>
      <c r="V9" s="2414"/>
      <c r="W9" s="1269"/>
      <c r="X9" s="1079"/>
      <c r="Y9" s="1079"/>
      <c r="Z9" s="1079"/>
      <c r="AA9" s="1079"/>
      <c r="AB9" s="1079"/>
    </row>
    <row r="10" spans="1:28" s="1076" customFormat="1" ht="7.5" customHeight="1" x14ac:dyDescent="0.3">
      <c r="A10" s="118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11"/>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f>
        <v>41.525188498402549</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f>(IF(E$7="SIM",(((D17-F17)*'R&amp;C-Painel de Controle'!$D$57+F17*('R&amp;C-Painel de Controle'!$D$60)+(((75)+(15+E30/5*30)+(25+E30/10*25))*D16)))/1000000,"-"))</f>
        <v>11.494862787525831</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f>IF(E7="SIM",(E15+E16)*F18*1000/$H$2,"-")</f>
        <v>0.1438326838803631</v>
      </c>
      <c r="E18" s="1035">
        <f>(IF(E$7="SIM",$H$2*D18/1000,"-"))</f>
        <v>2.6333597708192444</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f>IF(E7="SIM",SUM(E15:E18)*(1+D19),"-")</f>
        <v>39.635249916293084</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f>IF(E7="SIM",E19*1000000/$H$2,"-")</f>
        <v>2164.8558753351899</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f>IF(E7="SIM",(E15*F15+E16*F16)/4,"-")</f>
        <v>0.73410080542900868</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x14ac:dyDescent="0.25">
      <c r="A27" s="1187"/>
      <c r="B27" s="1111" t="s">
        <v>430</v>
      </c>
      <c r="C27" s="1058"/>
      <c r="D27" s="1217"/>
      <c r="E27" s="1088">
        <f>(IF(E$7="SIM",(E31)*2.4*12/$H$2,"-"))</f>
        <v>217.07957459845065</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f>(IF(E$7="SIM",(E15*1000000*E36+E37*12)/$H$2,"-"))</f>
        <v>123.59001716670312</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f>(IF(E$7="SIM",D38*E39*E40*12/$H$2,"-"))</f>
        <v>32.771674909186387</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f>(IF(E$7="SIM",(E27+E32+E35+E38+E41)*(1+D42),"-"))</f>
        <v>423.98539334177423</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899999999999999" customHeight="1" x14ac:dyDescent="0.3">
      <c r="A43" s="1188"/>
      <c r="B43" s="1212" t="s">
        <v>436</v>
      </c>
      <c r="C43" s="1102"/>
      <c r="D43" s="1225"/>
      <c r="E43" s="1080">
        <f>(IF(E$7="SIM",E42*$H$2/1000000,"-"))</f>
        <v>7.762533856142789</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f>(IF(E$7="SIM",((E43-E44)*1000000)/$H$2,"-"))</f>
        <v>274.80872915515778</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5"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5"/>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5"/>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09" t="s">
        <v>691</v>
      </c>
      <c r="C9" s="1099"/>
      <c r="D9" s="2412" t="s">
        <v>697</v>
      </c>
      <c r="E9" s="2413"/>
      <c r="F9" s="2413"/>
      <c r="G9" s="2413"/>
      <c r="H9" s="2413"/>
      <c r="I9" s="2413"/>
      <c r="J9" s="2413"/>
      <c r="K9" s="2413"/>
      <c r="L9" s="2413"/>
      <c r="M9" s="2413"/>
      <c r="N9" s="2413"/>
      <c r="O9" s="2413"/>
      <c r="P9" s="2413"/>
      <c r="Q9" s="2413"/>
      <c r="R9" s="2413"/>
      <c r="S9" s="2413"/>
      <c r="T9" s="2413"/>
      <c r="U9" s="2413"/>
      <c r="V9" s="2414"/>
    </row>
    <row r="10" spans="1:61" ht="7.5" customHeight="1" x14ac:dyDescent="0.25">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11"/>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5"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5"/>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09" t="s">
        <v>691</v>
      </c>
      <c r="C9" s="1099"/>
      <c r="D9" s="2412" t="s">
        <v>698</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11"/>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5"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5"/>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198"/>
    </row>
    <row r="3" spans="1:61" ht="19.899999999999999" customHeight="1" x14ac:dyDescent="0.25">
      <c r="A3" s="939"/>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09" t="s">
        <v>691</v>
      </c>
      <c r="C9" s="1099"/>
      <c r="D9" s="2412" t="s">
        <v>699</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row>
    <row r="10" spans="1:61" ht="7.5" customHeight="1" x14ac:dyDescent="0.25">
      <c r="A10" s="93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11"/>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5"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5"/>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341"/>
    </row>
    <row r="3" spans="1:28" ht="19.899999999999999" customHeight="1" x14ac:dyDescent="0.25">
      <c r="A3" s="448"/>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09" t="s">
        <v>691</v>
      </c>
      <c r="C9" s="1099"/>
      <c r="D9" s="2412" t="s">
        <v>702</v>
      </c>
      <c r="E9" s="2413"/>
      <c r="F9" s="2413"/>
      <c r="G9" s="2413"/>
      <c r="H9" s="2413"/>
      <c r="I9" s="2413"/>
      <c r="J9" s="2413"/>
      <c r="K9" s="2413"/>
      <c r="L9" s="2413"/>
      <c r="M9" s="2413"/>
      <c r="N9" s="2413"/>
      <c r="O9" s="2413"/>
      <c r="P9" s="2413"/>
      <c r="Q9" s="2413"/>
      <c r="R9" s="2413"/>
      <c r="S9" s="2413"/>
      <c r="T9" s="2413"/>
      <c r="U9" s="2413"/>
      <c r="V9" s="2414"/>
      <c r="W9" s="1299"/>
      <c r="X9" s="1299"/>
      <c r="Y9" s="1299"/>
      <c r="Z9" s="1299"/>
      <c r="AA9" s="1313"/>
      <c r="AB9" s="1079"/>
    </row>
    <row r="10" spans="1:28" ht="7.5" customHeight="1" x14ac:dyDescent="0.25">
      <c r="A10" s="448"/>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11"/>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5"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5"/>
      <c r="C2" s="487"/>
      <c r="D2" s="1097">
        <f>'R-Resumo Bal. Massa'!B39*(1+'R&amp;C-Painel de Controle'!H71)</f>
        <v>463.28385416666674</v>
      </c>
      <c r="E2" s="1098" t="s">
        <v>21</v>
      </c>
      <c r="F2" s="1307"/>
      <c r="G2" s="1307"/>
      <c r="H2" s="1305">
        <f>D2*313</f>
        <v>145007.84635416669</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5"/>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09" t="s">
        <v>691</v>
      </c>
      <c r="C9" s="1099"/>
      <c r="D9" s="2412" t="s">
        <v>448</v>
      </c>
      <c r="E9" s="2413"/>
      <c r="F9" s="2413"/>
      <c r="G9" s="2413"/>
      <c r="H9" s="2413"/>
      <c r="I9" s="2413"/>
      <c r="J9" s="2413"/>
      <c r="K9" s="2413"/>
      <c r="L9" s="2413"/>
      <c r="M9" s="2413"/>
      <c r="N9" s="2413"/>
      <c r="O9" s="2413"/>
      <c r="P9" s="2413"/>
      <c r="Q9" s="2413"/>
      <c r="R9" s="2413"/>
      <c r="S9" s="2413"/>
      <c r="T9" s="2413"/>
      <c r="U9" s="2413"/>
      <c r="V9" s="2414"/>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11"/>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f>
        <v>414.88222048393209</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394.16279164274169</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98.293309149971208</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f>IF(E7="SIM",(E15+E16)*F18*1000/$H$2,"-")</f>
        <v>8.4901630010754695E-2</v>
      </c>
      <c r="E18" s="1035">
        <f>(IF(E$7="SIM",$H$2*D18/1000,""))</f>
        <v>12.311402519817824</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f>IF(E7="SIM",SUM(E15:E18)*(1+D19),"-")</f>
        <v>530.03107847815727</v>
      </c>
      <c r="F19" s="1303">
        <f>IF(E7="SIM",(E16)/E19,"-")</f>
        <v>0.18544819943802957</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f>IF(E7="SIM",E19*1000000/$H$2,"-")</f>
        <v>3655.1889556625174</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f>IF(E7="SIM",$D$2*313/(8000*E23),"-")</f>
        <v>0.90629903971354175</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f>IF(E7="SIM",'R&amp;C-Painel de Controle'!$D$58*(E15*F15+E16*F16)/4+(1-'R&amp;C-Painel de Controle'!$D$58)*(E15*F15*1.25+E16*F16)/4,"-")</f>
        <v>17.303117711055197</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f>(IF(E$7="SIM",(E33)*2.4*12/$H$2,"-"))</f>
        <v>47.380842679570875</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f>IF(E$7="SIM",'R&amp;C-Painel de Controle'!$D$63+(E31*3/10+E32)*'R&amp;C-Painel de Controle'!$D$64+E31*E22*3*'R&amp;C-Painel de Controle'!$D$65,"-")</f>
        <v>238562.29011840821</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95.085084595737584</v>
      </c>
      <c r="F35" s="868">
        <f>D35*(1+F34)</f>
        <v>4.0625000000000001E-2</v>
      </c>
      <c r="G35" s="935"/>
      <c r="H35" s="1703">
        <f>D35*95%</f>
        <v>3.0875E-2</v>
      </c>
      <c r="I35" s="338">
        <f>(1-'R&amp;C-Painel de Controle'!$D$58)*J35*'R-Definição'!$E$114+('R&amp;C-Painel de Controle'!$D$58)*H35*'R-Definição'!$E$114</f>
        <v>90.330830365950689</v>
      </c>
      <c r="J35" s="868">
        <f>H35*(1+J34)</f>
        <v>3.8593749999999996E-2</v>
      </c>
      <c r="K35" s="935"/>
      <c r="L35" s="1703">
        <f>H35*95%</f>
        <v>2.933125E-2</v>
      </c>
      <c r="M35" s="338">
        <f>(1-'R&amp;C-Painel de Controle'!$D$58)*N35*'R-Definição'!$E$114+('R&amp;C-Painel de Controle'!$D$58)*L35*'R-Definição'!$E$114</f>
        <v>85.81428884765316</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3280.4354185529469</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f>(IF(E$7="SIM",(E15*1000000*E38+E39*12)/$H$2,"-"))</f>
        <v>104.43555783645964</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f>(IF(E$7="SIM",(E43+E41*E42*D41)*12/$H$2,"-"))</f>
        <v>43.03215416881266</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f>(IF(E$7="SIM",(1-'R&amp;C-Painel de Controle'!$D$58)*(E29+E34+E37+E40+E44)*(1+F51)+('R&amp;C-Painel de Controle'!$D$58)*(E29+E34+E37+E40+E44)*(1+D51),"-"))</f>
        <v>242.40634204905041</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f>(IF(E$7="SIM",E51*$H$2/1000000,"-"))</f>
        <v>35.150821603124278</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f>(IF(E$7="SIM",(((E29*$H$2/12)+(E36/1000*'R&amp;C-Painel de Controle'!$D$69*12)+(E39*12)+((E41*E42)+E43)*12))/1000000,"-"))</f>
        <v>10.791299496284179</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f>(IF(E$7="SIM",((E52-E53)*1000000)/$H$2,"-"))</f>
        <v>167.98761390707426</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5"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5"/>
      <c r="C2" s="487"/>
      <c r="D2" s="1097">
        <f>IF('R-Definição'!E121="Novo",('R-Resumo Bal. Massa'!B47+'R&amp;C-Painel de Controle'!D31)*(1+'R&amp;C-Painel de Controle'!H74),0)</f>
        <v>152.65677083333335</v>
      </c>
      <c r="E2" s="1098" t="s">
        <v>21</v>
      </c>
      <c r="F2" s="1307"/>
      <c r="G2" s="1307"/>
      <c r="H2" s="1305">
        <f>D2*313</f>
        <v>47781.569270833337</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5"/>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09" t="s">
        <v>691</v>
      </c>
      <c r="C9" s="1099"/>
      <c r="D9" s="2412" t="s">
        <v>451</v>
      </c>
      <c r="E9" s="2413"/>
      <c r="F9" s="2413"/>
      <c r="G9" s="2413"/>
      <c r="H9" s="2413"/>
      <c r="I9" s="2413"/>
      <c r="J9" s="2413"/>
      <c r="K9" s="2413"/>
      <c r="L9" s="2413"/>
      <c r="M9" s="2413"/>
      <c r="N9" s="2413"/>
      <c r="O9" s="2413"/>
      <c r="P9" s="2413"/>
      <c r="Q9" s="2413"/>
      <c r="R9" s="2413"/>
      <c r="S9" s="2413"/>
      <c r="T9" s="2413"/>
      <c r="U9" s="2413"/>
      <c r="V9" s="2414"/>
    </row>
    <row r="10" spans="1:61" ht="7.5" customHeight="1" x14ac:dyDescent="0.25">
      <c r="A10" s="476"/>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11"/>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1.1383225650755209</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10.613332063226563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2.9298582929296879</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t="str">
        <f>IF(I7="SIM",SUM(I15:I17),"-")</f>
        <v>-</v>
      </c>
      <c r="J18" s="1459"/>
      <c r="K18" s="1454"/>
      <c r="L18" s="1458"/>
      <c r="M18" s="1456">
        <f>IF(M7="SIM",SUM(M15:M17),"-")</f>
        <v>14.681512921231771</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t="str">
        <f>IF(I7="SIM",I18*1000000/$H$2,"-")</f>
        <v>-</v>
      </c>
      <c r="J19" s="1438"/>
      <c r="K19" s="724"/>
      <c r="L19" s="1437"/>
      <c r="M19" s="338">
        <f>IF(M7="SIM",M18*1000000/$H$2,"-")</f>
        <v>307.2630963209827</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5.6191769787460935</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12.625572673820791</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t="str">
        <f>(IF(I$7="SIM",I27+I28,"-"))</f>
        <v>-</v>
      </c>
      <c r="J26" s="1401"/>
      <c r="K26" s="1384"/>
      <c r="L26" s="1400"/>
      <c r="M26" s="412">
        <f>(IF(M$7="SIM",M27+M28,"-"))</f>
        <v>1.1986700467739946</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0.64075977875091716</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0.55791026802307742</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t="str">
        <f>(IF(I$7="SIM",I30,"-"))</f>
        <v>-</v>
      </c>
      <c r="J29" s="1403"/>
      <c r="K29" s="1387"/>
      <c r="L29" s="1402"/>
      <c r="M29" s="412">
        <f>(IF(M$7="SIM",M30,"-"))</f>
        <v>1.0884154105613428E-2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1.0884154105613428E-2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t="str">
        <f>(IF(I$7="SIM",I32+I33+I34+I35,"-"))</f>
        <v>-</v>
      </c>
      <c r="J31" s="1403"/>
      <c r="K31" s="1388"/>
      <c r="L31" s="1402"/>
      <c r="M31" s="412">
        <f>(IF(M$7="SIM",M32+M33+M34+M35,"-"))</f>
        <v>0.14787081297620952</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3.196235035972219E-2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4.3544953406487306E-2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1.5488511067708335E-3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7.0814658103229192E-2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t="str">
        <f>(IF(I$7="SIM",I37+I38+I39+I40,"-"))</f>
        <v>-</v>
      </c>
      <c r="J36" s="1403"/>
      <c r="K36" s="1387"/>
      <c r="L36" s="1402"/>
      <c r="M36" s="412">
        <f>(IF(M$7="SIM",M37+M38+M39+M40,"-"))</f>
        <v>1.6143078001568327</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1.0928293701818628</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2.7436864423945332E-2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4.247791959635417E-2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0.45156364595467041</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t="str">
        <f>(IF(I$7="SIM",I42+I43+I44,"-"))</f>
        <v>-</v>
      </c>
      <c r="J41" s="1403"/>
      <c r="K41" s="1390"/>
      <c r="L41" s="1402"/>
      <c r="M41" s="412">
        <f>(IF(M$7="SIM",M42+M43+M44,"-"))</f>
        <v>2.1069769692234215</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1.8297308012546716</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9.3196958593750018E-2</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0.18404920937499999</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t="str">
        <f>(IF(I$7="SIM",I46*1000000/$H$2,"-"))</f>
        <v>-</v>
      </c>
      <c r="J45" s="1405"/>
      <c r="K45" s="1391"/>
      <c r="L45" s="1413"/>
      <c r="M45" s="1375">
        <f>(IF(M$7="SIM",M46*1000000/$H$2,"-"))</f>
        <v>116.91915621050606</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5.586580761559679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1.5423080386918107</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84.640851788360152</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2022-07-20T11:34:07Z</dcterms:modified>
</cp:coreProperties>
</file>