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EstaPastaDeTrabalho"/>
  <mc:AlternateContent xmlns:mc="http://schemas.openxmlformats.org/markup-compatibility/2006">
    <mc:Choice Requires="x15">
      <x15ac:absPath xmlns:x15ac="http://schemas.microsoft.com/office/spreadsheetml/2010/11/ac" url="C:\Backup 27 May 2022 - Diretórios de Trabalho\2021 - UNIDO\4 - NOVO CONTRATO 2022\Desenvolv Tool 3\"/>
    </mc:Choice>
  </mc:AlternateContent>
  <xr:revisionPtr revIDLastSave="0" documentId="13_ncr:1_{C46E54C3-9F31-410D-B49C-01E209779715}" xr6:coauthVersionLast="47" xr6:coauthVersionMax="47" xr10:uidLastSave="{00000000-0000-0000-0000-000000000000}"/>
  <bookViews>
    <workbookView xWindow="-108" yWindow="-108" windowWidth="23256" windowHeight="12456" tabRatio="882" firstSheet="1"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externalReferences>
    <externalReference r:id="rId20"/>
  </externalReference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 i="2" l="1"/>
  <c r="C6" i="22" l="1"/>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 i="22" s="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I80" i="3" s="1"/>
  <c r="I90"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C130" i="22" s="1"/>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C133" i="22" s="1"/>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19" i="17" l="1"/>
  <c r="I20" i="17" s="1"/>
  <c r="I54" i="19"/>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5" i="15" s="1"/>
  <c r="U32" i="15"/>
  <c r="U27" i="15"/>
  <c r="U38"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I35" i="15"/>
  <c r="I42" i="15" s="1"/>
  <c r="I23" i="15"/>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O60" i="8" l="1"/>
  <c r="U45" i="15"/>
  <c r="K60" i="8"/>
  <c r="K58" i="8"/>
  <c r="L67" i="8"/>
  <c r="Y8" i="8" s="1"/>
  <c r="U42" i="20"/>
  <c r="U38" i="20"/>
  <c r="U34" i="20"/>
  <c r="U31" i="20" s="1"/>
  <c r="U30" i="20"/>
  <c r="U29" i="20" s="1"/>
  <c r="U15" i="20"/>
  <c r="U37" i="20"/>
  <c r="U33" i="20"/>
  <c r="U44" i="20"/>
  <c r="U40" i="20"/>
  <c r="U32" i="20"/>
  <c r="U28" i="20"/>
  <c r="U22" i="20"/>
  <c r="U17" i="20"/>
  <c r="U43" i="20"/>
  <c r="U39" i="20"/>
  <c r="U35"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U41" i="20" l="1"/>
  <c r="U26" i="20"/>
  <c r="U18" i="20"/>
  <c r="U19" i="20" s="1"/>
  <c r="U36" i="20"/>
  <c r="U48" i="20"/>
  <c r="U46" i="20"/>
  <c r="U45" i="20" s="1"/>
  <c r="U47" i="20"/>
  <c r="E48" i="20"/>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6" i="20" s="1"/>
  <c r="I33" i="20"/>
  <c r="I44" i="20"/>
  <c r="I40" i="20"/>
  <c r="I32" i="20"/>
  <c r="I28" i="20"/>
  <c r="I22" i="20"/>
  <c r="I17" i="20"/>
  <c r="I27" i="20"/>
  <c r="I16" i="20"/>
  <c r="Q37" i="20"/>
  <c r="Q33" i="20"/>
  <c r="Q44" i="20"/>
  <c r="Q40" i="20"/>
  <c r="Q32" i="20"/>
  <c r="Q28" i="20"/>
  <c r="Q22" i="20"/>
  <c r="Q17" i="20"/>
  <c r="Q43" i="20"/>
  <c r="Q39" i="20"/>
  <c r="Q35" i="20"/>
  <c r="Q27" i="20"/>
  <c r="Q26" i="20" s="1"/>
  <c r="Q21" i="20"/>
  <c r="Q16" i="20"/>
  <c r="Q42" i="20"/>
  <c r="Q38" i="20"/>
  <c r="Q34" i="20"/>
  <c r="Q30" i="20"/>
  <c r="Q29" i="20" s="1"/>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47" i="20" l="1"/>
  <c r="I18" i="20"/>
  <c r="I19" i="20" s="1"/>
  <c r="I48" i="20"/>
  <c r="I31" i="20"/>
  <c r="I41" i="20"/>
  <c r="Q41" i="20"/>
  <c r="Q31" i="20"/>
  <c r="Q48" i="20"/>
  <c r="Q18" i="20"/>
  <c r="Q19" i="20" s="1"/>
  <c r="Q36" i="20"/>
  <c r="Q47" i="20"/>
  <c r="M36" i="20"/>
  <c r="T48" i="11"/>
  <c r="T134" i="11" s="1"/>
  <c r="M41" i="20"/>
  <c r="M31" i="20"/>
  <c r="M26" i="20"/>
  <c r="I26" i="20"/>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I46" i="20" l="1"/>
  <c r="I45" i="20" s="1"/>
  <c r="Q46" i="20"/>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AU18" i="22" l="1"/>
  <c r="L63" i="11"/>
  <c r="L167" i="11" s="1"/>
  <c r="F63" i="11"/>
  <c r="F167" i="11" s="1"/>
  <c r="Q18" i="22"/>
  <c r="Q19" i="22" s="1"/>
  <c r="P167" i="11"/>
  <c r="X48" i="11"/>
  <c r="X134" i="11" s="1"/>
  <c r="C152" i="11"/>
  <c r="AA16" i="22"/>
  <c r="Z31" i="11"/>
  <c r="AB33" i="11"/>
  <c r="AC15"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M18" i="22" l="1"/>
  <c r="M19" i="22" s="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135" i="22" l="1"/>
  <c r="C132"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S27" i="22"/>
  <c r="S28" i="22" s="1"/>
  <c r="M161" i="11"/>
  <c r="N39" i="22"/>
  <c r="N40" i="22" s="1"/>
  <c r="P148" i="11"/>
  <c r="T30" i="22"/>
  <c r="T31" i="22" s="1"/>
  <c r="Q149" i="11"/>
  <c r="R30" i="22" s="1"/>
  <c r="N154" i="11" l="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42" i="22"/>
  <c r="N157" i="11" l="1"/>
  <c r="O42" i="22" s="1"/>
  <c r="N161" i="11"/>
  <c r="N162" i="11" s="1"/>
  <c r="O39" i="22"/>
  <c r="O40" i="22" s="1"/>
  <c r="O154" i="11"/>
  <c r="O156" i="11" s="1"/>
  <c r="S33" i="22"/>
  <c r="S36" i="22" s="1"/>
  <c r="S37" i="22" s="1"/>
  <c r="P34" i="22"/>
  <c r="N180" i="11"/>
  <c r="N181" i="11" s="1"/>
  <c r="N178" i="11"/>
  <c r="N179" i="11" s="1"/>
  <c r="Q36" i="22"/>
  <c r="Q37" i="22" s="1"/>
  <c r="Q34" i="22"/>
  <c r="N160" i="11"/>
  <c r="R148" i="11"/>
  <c r="S149" i="11"/>
  <c r="V30" i="22"/>
  <c r="V31" i="22" s="1"/>
  <c r="N176" i="11"/>
  <c r="N164" i="11"/>
  <c r="U27" i="22"/>
  <c r="U28" i="22" s="1"/>
  <c r="Q151" i="11"/>
  <c r="Q153" i="11" s="1"/>
  <c r="R33" i="22" s="1"/>
  <c r="P154" i="11"/>
  <c r="P156" i="11" s="1"/>
  <c r="P175" i="11" s="1"/>
  <c r="T33" i="22"/>
  <c r="O157" i="11" l="1"/>
  <c r="P42" i="22" s="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59" i="11"/>
  <c r="R154" i="11"/>
  <c r="R156" i="11" s="1"/>
  <c r="R175" i="11" s="1"/>
  <c r="V33" i="22"/>
  <c r="Q162" i="11" l="1"/>
  <c r="O183" i="11"/>
  <c r="P179" i="11"/>
  <c r="R180" i="11"/>
  <c r="R178" i="11"/>
  <c r="Q180" i="11"/>
  <c r="Q181" i="11" s="1"/>
  <c r="Q178" i="11"/>
  <c r="Q160" i="11"/>
  <c r="X27" i="22"/>
  <c r="X28" i="22" s="1"/>
  <c r="T151" i="11"/>
  <c r="T153" i="11" s="1"/>
  <c r="S154" i="11"/>
  <c r="S156" i="11" s="1"/>
  <c r="S175" i="11" s="1"/>
  <c r="W33" i="22"/>
  <c r="V39" i="22"/>
  <c r="V40" i="22" s="1"/>
  <c r="R161" i="11"/>
  <c r="R159" i="11"/>
  <c r="V34" i="22"/>
  <c r="V36" i="22"/>
  <c r="V37" i="22" s="1"/>
  <c r="Q164" i="11"/>
  <c r="U42" i="22"/>
  <c r="R157" i="11"/>
  <c r="P183" i="11"/>
  <c r="Q176" i="11"/>
  <c r="Y30" i="22"/>
  <c r="Y31" i="22" s="1"/>
  <c r="U148" i="11"/>
  <c r="V149" i="11"/>
  <c r="R162" i="11" l="1"/>
  <c r="R181" i="1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<sst xmlns="http://schemas.openxmlformats.org/spreadsheetml/2006/main" count="2679" uniqueCount="1125">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</sst>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4">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14">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62" fillId="16" borderId="30" xfId="0" applyFont="1" applyFill="1" applyBorder="1" applyAlignment="1">
      <alignment horizontal="center" vertical="center"/>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72" fillId="16" borderId="30" xfId="0" applyFont="1" applyFill="1" applyBorder="1" applyAlignment="1">
      <alignment horizontal="center" vertical="center" wrapText="1"/>
    </xf>
    <xf numFmtId="0" fontId="73" fillId="16" borderId="30" xfId="0" applyFont="1" applyFill="1" applyBorder="1"/>
    <xf numFmtId="0" fontId="62" fillId="16" borderId="34" xfId="0" applyFont="1" applyFill="1" applyBorder="1" applyAlignment="1">
      <alignment horizontal="center" vertical="center" wrapText="1"/>
    </xf>
    <xf numFmtId="0" fontId="63" fillId="16" borderId="30" xfId="0" applyFont="1" applyFill="1" applyBorder="1"/>
    <xf numFmtId="0" fontId="62" fillId="16" borderId="30" xfId="0" applyFont="1" applyFill="1" applyBorder="1" applyAlignment="1">
      <alignment horizontal="center" vertical="center" wrapText="1"/>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60" fillId="0" borderId="30" xfId="0" applyFont="1" applyBorder="1" applyAlignment="1">
      <alignment horizontal="righ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vertical="center"/>
    </xf>
    <xf numFmtId="0" fontId="41" fillId="0" borderId="16" xfId="0" applyFont="1" applyBorder="1" applyAlignment="1">
      <alignment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164" fontId="39" fillId="3" borderId="1" xfId="0" applyNumberFormat="1" applyFont="1" applyFill="1" applyBorder="1" applyAlignment="1">
      <alignment horizontal="center" vertical="center"/>
    </xf>
    <xf numFmtId="0" fontId="41" fillId="0" borderId="3" xfId="0" applyFont="1" applyBorder="1" applyAlignment="1">
      <alignment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90" fillId="7" borderId="17" xfId="0" applyFont="1" applyFill="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0" fontId="41" fillId="0" borderId="2"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62" fillId="16" borderId="30" xfId="0" applyNumberFormat="1" applyFont="1" applyFill="1" applyBorder="1" applyAlignment="1">
      <alignment horizontal="center" vertical="center" wrapText="1"/>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4" fillId="0" borderId="30" xfId="0" applyFont="1" applyFill="1" applyBorder="1" applyAlignment="1">
      <alignment vertical="center"/>
    </xf>
    <xf numFmtId="4" fontId="48" fillId="0" borderId="29" xfId="0" applyNumberFormat="1"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9" fillId="16" borderId="30" xfId="0" applyFont="1" applyFill="1" applyBorder="1" applyAlignment="1">
      <alignment horizontal="center" vertical="center" wrapText="1"/>
    </xf>
    <xf numFmtId="0" fontId="101" fillId="16" borderId="30" xfId="0" applyFont="1" applyFill="1" applyBorder="1" applyAlignment="1">
      <alignment horizontal="center"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62" fillId="30" borderId="30" xfId="0" applyFont="1" applyFill="1" applyBorder="1" applyAlignment="1">
      <alignment horizontal="center" vertical="center" wrapText="1"/>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0" fontId="227" fillId="30" borderId="30" xfId="0" applyFont="1" applyFill="1" applyBorder="1" applyAlignment="1">
      <alignment horizontal="center" vertical="center" wrapText="1"/>
    </xf>
    <xf numFmtId="0" fontId="228" fillId="16" borderId="30" xfId="0" applyFont="1" applyFill="1" applyBorder="1" applyAlignment="1">
      <alignment vertical="center"/>
    </xf>
    <xf numFmtId="0" fontId="228" fillId="16" borderId="31" xfId="0" applyFont="1" applyFill="1" applyBorder="1" applyAlignment="1">
      <alignment vertical="center"/>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3" fontId="44" fillId="0" borderId="30" xfId="0" applyNumberFormat="1" applyFont="1" applyBorder="1" applyAlignment="1">
      <alignment horizontal="center" vertical="center"/>
    </xf>
    <xf numFmtId="0" fontId="44" fillId="0" borderId="30" xfId="0" applyFont="1" applyBorder="1" applyAlignment="1">
      <alignment vertical="center"/>
    </xf>
    <xf numFmtId="0" fontId="228" fillId="16" borderId="30" xfId="0" applyFont="1" applyFill="1" applyBorder="1" applyAlignment="1">
      <alignment horizontal="center" vertical="center"/>
    </xf>
    <xf numFmtId="0" fontId="228" fillId="16" borderId="39" xfId="0" applyFont="1" applyFill="1" applyBorder="1" applyAlignment="1">
      <alignment horizontal="center" vertical="center"/>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0" fontId="227" fillId="30" borderId="29" xfId="0" applyFont="1" applyFill="1" applyBorder="1" applyAlignment="1">
      <alignment horizontal="center" vertical="center" wrapText="1"/>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0" borderId="30" xfId="0" applyFont="1" applyBorder="1" applyAlignment="1">
      <alignment horizontal="center"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720.30140335170802</c:v>
                </c:pt>
                <c:pt idx="3">
                  <c:v>152.66022729867731</c:v>
                </c:pt>
                <c:pt idx="4">
                  <c:v>0</c:v>
                </c:pt>
                <c:pt idx="5">
                  <c:v>0</c:v>
                </c:pt>
                <c:pt idx="6">
                  <c:v>164.39501385795026</c:v>
                </c:pt>
                <c:pt idx="7">
                  <c:v>0</c:v>
                </c:pt>
                <c:pt idx="8">
                  <c:v>193.65151802043272</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718.00012091288465</c:v>
                </c:pt>
                <c:pt idx="3">
                  <c:v>402.57273794468387</c:v>
                </c:pt>
                <c:pt idx="4">
                  <c:v>0</c:v>
                </c:pt>
                <c:pt idx="5">
                  <c:v>0</c:v>
                </c:pt>
                <c:pt idx="6">
                  <c:v>375.0739074651022</c:v>
                </c:pt>
                <c:pt idx="7">
                  <c:v>0</c:v>
                </c:pt>
                <c:pt idx="8">
                  <c:v>299.93834918180562</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c:v>
                </c:pt>
                <c:pt idx="1">
                  <c:v>0</c:v>
                </c:pt>
                <c:pt idx="2">
                  <c:v>118.96751469307694</c:v>
                </c:pt>
                <c:pt idx="3">
                  <c:v>22.230390685235722</c:v>
                </c:pt>
                <c:pt idx="4">
                  <c:v>0</c:v>
                </c:pt>
                <c:pt idx="5">
                  <c:v>0</c:v>
                </c:pt>
                <c:pt idx="6">
                  <c:v>17.990891233201921</c:v>
                </c:pt>
                <c:pt idx="7">
                  <c:v>0</c:v>
                </c:pt>
                <c:pt idx="8">
                  <c:v>73.721769034281081</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118.58742678670927</c:v>
                </c:pt>
                <c:pt idx="3">
                  <c:v>58.622664213817011</c:v>
                </c:pt>
                <c:pt idx="4">
                  <c:v>0</c:v>
                </c:pt>
                <c:pt idx="5">
                  <c:v>0</c:v>
                </c:pt>
                <c:pt idx="6">
                  <c:v>41.046949753886118</c:v>
                </c:pt>
                <c:pt idx="7">
                  <c:v>0</c:v>
                </c:pt>
                <c:pt idx="8" formatCode="0">
                  <c:v>114.18441708559973</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51.029223125909809</c:v>
                </c:pt>
                <c:pt idx="3" formatCode="#,##0">
                  <c:v>51.334528479498417</c:v>
                </c:pt>
                <c:pt idx="4" formatCode="#,##0">
                  <c:v>0</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250</c:v>
                </c:pt>
                <c:pt idx="1">
                  <c:v>0</c:v>
                </c:pt>
                <c:pt idx="2">
                  <c:v>250.80128205128204</c:v>
                </c:pt>
                <c:pt idx="3">
                  <c:v>94.802884615384613</c:v>
                </c:pt>
                <c:pt idx="4">
                  <c:v>0</c:v>
                </c:pt>
                <c:pt idx="5">
                  <c:v>0</c:v>
                </c:pt>
                <c:pt idx="6">
                  <c:v>109.57508012820512</c:v>
                </c:pt>
                <c:pt idx="7">
                  <c:v>0</c:v>
                </c:pt>
                <c:pt idx="8">
                  <c:v>100.89375000000001</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-22.979848791222295</c:v>
                </c:pt>
                <c:pt idx="1">
                  <c:v>-51.653973067673029</c:v>
                </c:pt>
                <c:pt idx="2">
                  <c:v>-88.351012082999659</c:v>
                </c:pt>
                <c:pt idx="3">
                  <c:v>-90.929861871086331</c:v>
                </c:pt>
                <c:pt idx="4">
                  <c:v>-93.431739535530596</c:v>
                </c:pt>
                <c:pt idx="5">
                  <c:v>-95.856283307351319</c:v>
                </c:pt>
                <c:pt idx="6">
                  <c:v>-98.203129717253177</c:v>
                </c:pt>
                <c:pt idx="7">
                  <c:v>-100.47191358763516</c:v>
                </c:pt>
                <c:pt idx="8">
                  <c:v>-102.66226802456151</c:v>
                </c:pt>
                <c:pt idx="9">
                  <c:v>-104.773824409695</c:v>
                </c:pt>
                <c:pt idx="10">
                  <c:v>-106.80621239219218</c:v>
                </c:pt>
                <c:pt idx="11">
                  <c:v>-108.75905988056068</c:v>
                </c:pt>
                <c:pt idx="12">
                  <c:v>-110.6319930344781</c:v>
                </c:pt>
                <c:pt idx="13">
                  <c:v>-112.42463625657251</c:v>
                </c:pt>
                <c:pt idx="14">
                  <c:v>-114.13661218416433</c:v>
                </c:pt>
                <c:pt idx="15">
                  <c:v>-115.76754168096943</c:v>
                </c:pt>
                <c:pt idx="16">
                  <c:v>-117.31704382876308</c:v>
                </c:pt>
                <c:pt idx="17">
                  <c:v>-118.78473591900493</c:v>
                </c:pt>
                <c:pt idx="18">
                  <c:v>-120.17023344442451</c:v>
                </c:pt>
                <c:pt idx="19">
                  <c:v>-121.47315009056715</c:v>
                </c:pt>
                <c:pt idx="20">
                  <c:v>-122.69309772730023</c:v>
                </c:pt>
                <c:pt idx="21">
                  <c:v>-123.82968640027953</c:v>
                </c:pt>
                <c:pt idx="22">
                  <c:v>-124.8825243223754</c:v>
                </c:pt>
                <c:pt idx="23">
                  <c:v>-125.85121786505871</c:v>
                </c:pt>
                <c:pt idx="24">
                  <c:v>-126.73537154974622</c:v>
                </c:pt>
                <c:pt idx="25">
                  <c:v>-127.53458803910533</c:v>
                </c:pt>
                <c:pt idx="26">
                  <c:v>-128.248468128318</c:v>
                </c:pt>
                <c:pt idx="27">
                  <c:v>-128.87661073630355</c:v>
                </c:pt>
                <c:pt idx="28">
                  <c:v>-129.41861289690021</c:v>
                </c:pt>
                <c:pt idx="29">
                  <c:v>-129.87406975000528</c:v>
                </c:pt>
                <c:pt idx="30">
                  <c:v>-130.2425745326735</c:v>
                </c:pt>
                <c:pt idx="31">
                  <c:v>-130.52371857017386</c:v>
                </c:pt>
                <c:pt idx="32">
                  <c:v>-130.71709126700404</c:v>
                </c:pt>
                <c:pt idx="33">
                  <c:v>-130.82228009786289</c:v>
                </c:pt>
                <c:pt idx="34">
                  <c:v>-130.83887059858034</c:v>
                </c:pt>
                <c:pt idx="35">
                  <c:v>-130.79107059914045</c:v>
                </c:pt>
                <c:pt idx="36">
                  <c:v>-130.68424474605658</c:v>
                </c:pt>
                <c:pt idx="37">
                  <c:v>-130.51811561781656</c:v>
                </c:pt>
                <c:pt idx="38">
                  <c:v>-130.29240448902718</c:v>
                </c:pt>
                <c:pt idx="39">
                  <c:v>-130.00683132428583</c:v>
                </c:pt>
                <c:pt idx="40">
                  <c:v>-129.66111477202358</c:v>
                </c:pt>
                <c:pt idx="41">
                  <c:v>-129.25497215831905</c:v>
                </c:pt>
                <c:pt idx="42">
                  <c:v>-128.78811948068346</c:v>
                </c:pt>
                <c:pt idx="43">
                  <c:v>-128.26027140181637</c:v>
                </c:pt>
                <c:pt idx="44">
                  <c:v>-127.67114124333196</c:v>
                </c:pt>
                <c:pt idx="45">
                  <c:v>-127.02044097945603</c:v>
                </c:pt>
                <c:pt idx="46">
                  <c:v>-126.30788123069324</c:v>
                </c:pt>
                <c:pt idx="47">
                  <c:v>-125.53317125746463</c:v>
                </c:pt>
                <c:pt idx="48">
                  <c:v>-124.69601895371521</c:v>
                </c:pt>
                <c:pt idx="49">
                  <c:v>-123.79613084049153</c:v>
                </c:pt>
                <c:pt idx="50">
                  <c:v>-122.83321205948906</c:v>
                </c:pt>
                <c:pt idx="51">
                  <c:v>-121.80696636656924</c:v>
                </c:pt>
                <c:pt idx="52">
                  <c:v>-120.71709612524606</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3.9401266701863338</c:v>
                </c:pt>
                <c:pt idx="1">
                  <c:v>5.0138331095794957</c:v>
                </c:pt>
                <c:pt idx="2">
                  <c:v>2.3167722666063191</c:v>
                </c:pt>
                <c:pt idx="3">
                  <c:v>-8.6750649018119574</c:v>
                </c:pt>
                <c:pt idx="4">
                  <c:v>-19.346759075611608</c:v>
                </c:pt>
                <c:pt idx="5">
                  <c:v>-29.697911825956034</c:v>
                </c:pt>
                <c:pt idx="6">
                  <c:v>-39.728122851393096</c:v>
                </c:pt>
                <c:pt idx="7">
                  <c:v>-49.436989969053826</c:v>
                </c:pt>
                <c:pt idx="8">
                  <c:v>-58.824109105809782</c:v>
                </c:pt>
                <c:pt idx="9">
                  <c:v>-67.889074289388816</c:v>
                </c:pt>
                <c:pt idx="10">
                  <c:v>-76.631477639449088</c:v>
                </c:pt>
                <c:pt idx="11">
                  <c:v>-85.050909358611165</c:v>
                </c:pt>
                <c:pt idx="12">
                  <c:v>-93.146957723447926</c:v>
                </c:pt>
                <c:pt idx="13">
                  <c:v>-100.91920907543214</c:v>
                </c:pt>
                <c:pt idx="14">
                  <c:v>-108.36724781184149</c:v>
                </c:pt>
                <c:pt idx="15">
                  <c:v>-115.4906563766209</c:v>
                </c:pt>
                <c:pt idx="16">
                  <c:v>-122.2890152512018</c:v>
                </c:pt>
                <c:pt idx="17">
                  <c:v>-128.76190294527836</c:v>
                </c:pt>
                <c:pt idx="18">
                  <c:v>-134.90889598754029</c:v>
                </c:pt>
                <c:pt idx="19">
                  <c:v>-140.72956891636218</c:v>
                </c:pt>
                <c:pt idx="20">
                  <c:v>-146.22349427044895</c:v>
                </c:pt>
                <c:pt idx="21">
                  <c:v>-151.39024257943748</c:v>
                </c:pt>
                <c:pt idx="22">
                  <c:v>-156.22938235445386</c:v>
                </c:pt>
                <c:pt idx="23">
                  <c:v>-156.03306204415526</c:v>
                </c:pt>
                <c:pt idx="24">
                  <c:v>-155.74363503033567</c:v>
                </c:pt>
                <c:pt idx="25">
                  <c:v>-155.36066371148854</c:v>
                </c:pt>
                <c:pt idx="26">
                  <c:v>-154.88370842938022</c:v>
                </c:pt>
                <c:pt idx="27">
                  <c:v>-154.31232745938343</c:v>
                </c:pt>
                <c:pt idx="28">
                  <c:v>-153.64607700076505</c:v>
                </c:pt>
                <c:pt idx="29">
                  <c:v>-152.88451116692858</c:v>
                </c:pt>
                <c:pt idx="30">
                  <c:v>-152.02718197561049</c:v>
                </c:pt>
                <c:pt idx="31">
                  <c:v>-151.07363933903062</c:v>
                </c:pt>
                <c:pt idx="32">
                  <c:v>-150.02343105399623</c:v>
                </c:pt>
                <c:pt idx="33">
                  <c:v>-148.8761027919596</c:v>
                </c:pt>
                <c:pt idx="34">
                  <c:v>-147.63119808902877</c:v>
                </c:pt>
                <c:pt idx="35">
                  <c:v>-146.31373697379669</c:v>
                </c:pt>
                <c:pt idx="36">
                  <c:v>-144.9292423526017</c:v>
                </c:pt>
                <c:pt idx="37">
                  <c:v>-143.47739916796579</c:v>
                </c:pt>
                <c:pt idx="38">
                  <c:v>-141.95789088164076</c:v>
                </c:pt>
                <c:pt idx="39">
                  <c:v>-140.37039946764872</c:v>
                </c:pt>
                <c:pt idx="40">
                  <c:v>-138.7146054052896</c:v>
                </c:pt>
                <c:pt idx="41">
                  <c:v>-136.99018767211609</c:v>
                </c:pt>
                <c:pt idx="42">
                  <c:v>-135.19682373687536</c:v>
                </c:pt>
                <c:pt idx="43">
                  <c:v>-133.33418955241768</c:v>
                </c:pt>
                <c:pt idx="44">
                  <c:v>-131.40195954857174</c:v>
                </c:pt>
                <c:pt idx="45">
                  <c:v>-129.39980662498641</c:v>
                </c:pt>
                <c:pt idx="46">
                  <c:v>-127.32740214393893</c:v>
                </c:pt>
                <c:pt idx="47">
                  <c:v>-125.18441592310921</c:v>
                </c:pt>
                <c:pt idx="48">
                  <c:v>-122.97051622832029</c:v>
                </c:pt>
                <c:pt idx="49">
                  <c:v>-120.68536976624455</c:v>
                </c:pt>
                <c:pt idx="50">
                  <c:v>-118.32864167707575</c:v>
                </c:pt>
                <c:pt idx="51">
                  <c:v>-115.89999552716654</c:v>
                </c:pt>
                <c:pt idx="52">
                  <c:v>-113.39909330163145</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-25.218086063487345</c:v>
                </c:pt>
                <c:pt idx="1">
                  <c:v>-56.685070044464382</c:v>
                </c:pt>
                <c:pt idx="2">
                  <c:v>-96.956400659883826</c:v>
                </c:pt>
                <c:pt idx="3">
                  <c:v>-99.786430417330138</c:v>
                </c:pt>
                <c:pt idx="4">
                  <c:v>-102.53199096629126</c:v>
                </c:pt>
                <c:pt idx="5">
                  <c:v>-105.19268530148733</c:v>
                </c:pt>
                <c:pt idx="6">
                  <c:v>-107.76811455171364</c:v>
                </c:pt>
                <c:pt idx="7">
                  <c:v>-110.25787797107083</c:v>
                </c:pt>
                <c:pt idx="8">
                  <c:v>-112.6615729301538</c:v>
                </c:pt>
                <c:pt idx="9">
                  <c:v>-114.97879490719927</c:v>
                </c:pt>
                <c:pt idx="10">
                  <c:v>-117.2091374791917</c:v>
                </c:pt>
                <c:pt idx="11">
                  <c:v>-119.3521923129273</c:v>
                </c:pt>
                <c:pt idx="12">
                  <c:v>-121.40754915603628</c:v>
                </c:pt>
                <c:pt idx="13">
                  <c:v>-123.37479582796269</c:v>
                </c:pt>
                <c:pt idx="14">
                  <c:v>-125.25351821090196</c:v>
                </c:pt>
                <c:pt idx="15">
                  <c:v>-127.04330024069586</c:v>
                </c:pt>
                <c:pt idx="16">
                  <c:v>-128.74372389768462</c:v>
                </c:pt>
                <c:pt idx="17">
                  <c:v>-130.35436919751604</c:v>
                </c:pt>
                <c:pt idx="18">
                  <c:v>-131.87481418191149</c:v>
                </c:pt>
                <c:pt idx="19">
                  <c:v>-133.30463490938843</c:v>
                </c:pt>
                <c:pt idx="20">
                  <c:v>-134.64340544593932</c:v>
                </c:pt>
                <c:pt idx="21">
                  <c:v>-135.89069785566682</c:v>
                </c:pt>
                <c:pt idx="22">
                  <c:v>-137.04608219137484</c:v>
                </c:pt>
                <c:pt idx="23">
                  <c:v>-138.1091264851155</c:v>
                </c:pt>
                <c:pt idx="24">
                  <c:v>-139.07939673869157</c:v>
                </c:pt>
                <c:pt idx="25">
                  <c:v>-139.95645691411426</c:v>
                </c:pt>
                <c:pt idx="26">
                  <c:v>-140.73986892401626</c:v>
                </c:pt>
                <c:pt idx="27">
                  <c:v>-141.42919262201963</c:v>
                </c:pt>
                <c:pt idx="28">
                  <c:v>-142.02398579305842</c:v>
                </c:pt>
                <c:pt idx="29">
                  <c:v>-142.52380414365589</c:v>
                </c:pt>
                <c:pt idx="30">
                  <c:v>-142.92820129215599</c:v>
                </c:pt>
                <c:pt idx="31">
                  <c:v>-143.23672875890887</c:v>
                </c:pt>
                <c:pt idx="32">
                  <c:v>-143.44893595641031</c:v>
                </c:pt>
                <c:pt idx="33">
                  <c:v>-143.56437017939481</c:v>
                </c:pt>
                <c:pt idx="34">
                  <c:v>-143.58257659488217</c:v>
                </c:pt>
                <c:pt idx="35">
                  <c:v>-143.53012087549683</c:v>
                </c:pt>
                <c:pt idx="36">
                  <c:v>-143.41289018432258</c:v>
                </c:pt>
                <c:pt idx="37">
                  <c:v>-143.23058007899198</c:v>
                </c:pt>
                <c:pt idx="38">
                  <c:v>-142.9828846862585</c:v>
                </c:pt>
                <c:pt idx="39">
                  <c:v>-142.66949669527136</c:v>
                </c:pt>
                <c:pt idx="40">
                  <c:v>-142.29010735081877</c:v>
                </c:pt>
                <c:pt idx="41">
                  <c:v>-141.84440644653944</c:v>
                </c:pt>
                <c:pt idx="42">
                  <c:v>-141.33208231810215</c:v>
                </c:pt>
                <c:pt idx="43">
                  <c:v>-140.75282183635341</c:v>
                </c:pt>
                <c:pt idx="44">
                  <c:v>-140.10631040043262</c:v>
                </c:pt>
                <c:pt idx="45">
                  <c:v>-139.39223193085516</c:v>
                </c:pt>
                <c:pt idx="46">
                  <c:v>-138.61026886256289</c:v>
                </c:pt>
                <c:pt idx="47">
                  <c:v>-137.76010213794183</c:v>
                </c:pt>
                <c:pt idx="48">
                  <c:v>-136.84141119980723</c:v>
                </c:pt>
                <c:pt idx="49">
                  <c:v>-135.85387398435557</c:v>
                </c:pt>
                <c:pt idx="50">
                  <c:v>-134.79716691408348</c:v>
                </c:pt>
                <c:pt idx="51">
                  <c:v>-133.67096489067328</c:v>
                </c:pt>
                <c:pt idx="52">
                  <c:v>-132.47494128784521</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4.1788983463996257</c:v>
                </c:pt>
                <c:pt idx="1">
                  <c:v>5.3176713960200122</c:v>
                </c:pt>
                <c:pt idx="2">
                  <c:v>2.4571686659626613</c:v>
                </c:pt>
                <c:pt idx="3">
                  <c:v>-9.2007738348617636</c:v>
                </c:pt>
                <c:pt idx="4">
                  <c:v>-20.519172675593673</c:v>
                </c:pt>
                <c:pt idx="5">
                  <c:v>-31.497605282608973</c:v>
                </c:pt>
                <c:pt idx="6">
                  <c:v>-42.135647096187519</c:v>
                </c:pt>
                <c:pt idx="7">
                  <c:v>-52.432871561178487</c:v>
                </c:pt>
                <c:pt idx="8">
                  <c:v>-62.388850117621857</c:v>
                </c:pt>
                <c:pt idx="9">
                  <c:v>-72.003152191325782</c:v>
                </c:pt>
                <c:pt idx="10">
                  <c:v>-81.275345184399697</c:v>
                </c:pt>
                <c:pt idx="11">
                  <c:v>-90.204994465742999</c:v>
                </c:pt>
                <c:pt idx="12">
                  <c:v>-98.791663361488858</c:v>
                </c:pt>
                <c:pt idx="13">
                  <c:v>-107.03491314540331</c:v>
                </c:pt>
                <c:pt idx="14">
                  <c:v>-114.93430302923908</c:v>
                </c:pt>
                <c:pt idx="15">
                  <c:v>-122.48939015304411</c:v>
                </c:pt>
                <c:pt idx="16">
                  <c:v>-129.69972957542461</c:v>
                </c:pt>
                <c:pt idx="17">
                  <c:v>-136.56487426376219</c:v>
                </c:pt>
                <c:pt idx="18">
                  <c:v>-143.08437508438519</c:v>
                </c:pt>
                <c:pt idx="19">
                  <c:v>-149.25778079269369</c:v>
                </c:pt>
                <c:pt idx="20">
                  <c:v>-155.08463802323814</c:v>
                </c:pt>
                <c:pt idx="21">
                  <c:v>-160.56449127975137</c:v>
                </c:pt>
                <c:pt idx="22">
                  <c:v>-165.69688292513376</c:v>
                </c:pt>
                <c:pt idx="23">
                  <c:v>-165.48866560403107</c:v>
                </c:pt>
                <c:pt idx="24">
                  <c:v>-165.18169931317399</c:v>
                </c:pt>
                <c:pt idx="25">
                  <c:v>-164.77551993240473</c:v>
                </c:pt>
                <c:pt idx="26">
                  <c:v>-164.26966116020066</c:v>
                </c:pt>
                <c:pt idx="27">
                  <c:v>-163.66365450342204</c:v>
                </c:pt>
                <c:pt idx="28">
                  <c:v>-162.95702926701139</c:v>
                </c:pt>
                <c:pt idx="29">
                  <c:v>-162.14931254364441</c:v>
                </c:pt>
                <c:pt idx="30">
                  <c:v>-161.24002920333243</c:v>
                </c:pt>
                <c:pt idx="31">
                  <c:v>-160.2287018829758</c:v>
                </c:pt>
                <c:pt idx="32">
                  <c:v>-159.11485097586831</c:v>
                </c:pt>
                <c:pt idx="33">
                  <c:v>-157.89799462115224</c:v>
                </c:pt>
                <c:pt idx="34">
                  <c:v>-156.57764869322381</c:v>
                </c:pt>
                <c:pt idx="35">
                  <c:v>-155.18034943440867</c:v>
                </c:pt>
                <c:pt idx="36">
                  <c:v>-153.71195443916926</c:v>
                </c:pt>
                <c:pt idx="37">
                  <c:v>-152.17212955754439</c:v>
                </c:pt>
                <c:pt idx="38">
                  <c:v>-150.56053906906808</c:v>
                </c:pt>
                <c:pt idx="39">
                  <c:v>-148.87684567538813</c:v>
                </c:pt>
                <c:pt idx="40">
                  <c:v>-147.12071049285004</c:v>
                </c:pt>
                <c:pt idx="41">
                  <c:v>-145.29179304504621</c:v>
                </c:pt>
                <c:pt idx="42">
                  <c:v>-143.38975125532988</c:v>
                </c:pt>
                <c:pt idx="43">
                  <c:v>-141.41424143929407</c:v>
                </c:pt>
                <c:pt idx="44">
                  <c:v>-139.36491829721507</c:v>
                </c:pt>
                <c:pt idx="45">
                  <c:v>-137.24143490646048</c:v>
                </c:pt>
                <c:pt idx="46">
                  <c:v>-135.04344271386151</c:v>
                </c:pt>
                <c:pt idx="47">
                  <c:v>-132.77059152804952</c:v>
                </c:pt>
                <c:pt idx="48">
                  <c:v>-130.42252951175638</c:v>
                </c:pt>
                <c:pt idx="49">
                  <c:v>-127.99890317407885</c:v>
                </c:pt>
                <c:pt idx="50">
                  <c:v>-125.49935736270642</c:v>
                </c:pt>
                <c:pt idx="51">
                  <c:v>-122.92353525611271</c:v>
                </c:pt>
                <c:pt idx="52">
                  <c:v>-120.2710783557102</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ase%20Ferramenta%203%20-%20Algoritmo%20RT%201%20-%2029%20May%20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resentação"/>
      <sheetName val="R-Entrada"/>
      <sheetName val="R-Definição"/>
      <sheetName val="R-Avançado"/>
      <sheetName val="R-Fluxo Massa"/>
      <sheetName val="R-Resumo Bal. Massa"/>
      <sheetName val="Saída GEE"/>
      <sheetName val="R&amp;C-Painel de Controle"/>
      <sheetName val="C-Calc Tarifa"/>
      <sheetName val="C-FCL Real"/>
      <sheetName val="C-Dados RT Simplif."/>
      <sheetName val="Coef. Algoritmos"/>
      <sheetName val="C-Triagem Man"/>
      <sheetName val="C-Triagem Mec"/>
      <sheetName val="C-Produção CDR-TM"/>
      <sheetName val="C-Produção CDR-TMB"/>
      <sheetName val="C-Compostagem"/>
      <sheetName val="C-Biodigestão"/>
      <sheetName val="C-Incineração"/>
      <sheetName val="C-Aterro Sanitário"/>
    </sheetNames>
    <sheetDataSet>
      <sheetData sheetId="0"/>
      <sheetData sheetId="1"/>
      <sheetData sheetId="2"/>
      <sheetData sheetId="3"/>
      <sheetData sheetId="4"/>
      <sheetData sheetId="5"/>
      <sheetData sheetId="6"/>
      <sheetData sheetId="7"/>
      <sheetData sheetId="8"/>
      <sheetData sheetId="9"/>
      <sheetData sheetId="10"/>
      <sheetData sheetId="11">
        <row r="3">
          <cell r="H3">
            <v>250</v>
          </cell>
        </row>
      </sheetData>
      <sheetData sheetId="12"/>
      <sheetData sheetId="13"/>
      <sheetData sheetId="14"/>
      <sheetData sheetId="15"/>
      <sheetData sheetId="16"/>
      <sheetData sheetId="17"/>
      <sheetData sheetId="18"/>
      <sheetData sheetId="19"/>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4140625" defaultRowHeight="15" customHeight="1" x14ac:dyDescent="0.3"/>
  <cols>
    <col min="1" max="1" width="0.33203125" style="522" customWidth="1"/>
    <col min="2" max="2" width="7.44140625" style="72" customWidth="1"/>
    <col min="3" max="3" width="13.44140625" style="72" customWidth="1"/>
    <col min="4" max="4" width="9.6640625" style="72" customWidth="1"/>
    <col min="5" max="6" width="8.44140625" style="72" customWidth="1"/>
    <col min="7" max="7" width="42.44140625" style="72" customWidth="1"/>
    <col min="8" max="8" width="6.44140625" style="72" customWidth="1"/>
    <col min="9" max="9" width="10.44140625" style="72" customWidth="1"/>
    <col min="10" max="10" width="7.44140625" style="72" customWidth="1"/>
    <col min="11" max="15" width="8.44140625" style="72" customWidth="1"/>
    <col min="16" max="16" width="11.44140625" style="72" customWidth="1"/>
    <col min="17" max="17" width="13.44140625" style="72" customWidth="1"/>
    <col min="18" max="18" width="8.44140625" style="72" customWidth="1"/>
  </cols>
  <sheetData>
    <row r="1" spans="2:18" ht="6" customHeight="1" x14ac:dyDescent="0.3">
      <c r="B1" s="414"/>
      <c r="C1" s="414"/>
      <c r="D1" s="414"/>
      <c r="E1" s="414"/>
      <c r="F1" s="416"/>
      <c r="G1" s="416"/>
      <c r="H1" s="416"/>
      <c r="I1" s="416"/>
      <c r="J1" s="416"/>
      <c r="K1" s="416"/>
      <c r="L1" s="73"/>
      <c r="M1" s="73"/>
      <c r="N1" s="73"/>
      <c r="O1" s="73"/>
      <c r="P1" s="73"/>
      <c r="Q1" s="73"/>
      <c r="R1" s="73"/>
    </row>
    <row r="2" spans="2:18" ht="21.45" customHeight="1" x14ac:dyDescent="0.35">
      <c r="B2" s="414"/>
      <c r="C2" s="2105" t="s">
        <v>473</v>
      </c>
      <c r="D2" s="2106"/>
      <c r="E2" s="2106"/>
      <c r="F2" s="2106"/>
      <c r="G2" s="2106"/>
      <c r="H2" s="415"/>
      <c r="I2" s="2109" t="s">
        <v>962</v>
      </c>
      <c r="J2" s="2110"/>
      <c r="K2" s="2110"/>
    </row>
    <row r="3" spans="2:18" ht="10.5" customHeight="1" x14ac:dyDescent="0.3">
      <c r="B3" s="414"/>
      <c r="C3" s="413"/>
      <c r="D3" s="413"/>
      <c r="E3" s="413"/>
      <c r="F3" s="413"/>
      <c r="G3" s="413"/>
      <c r="H3" s="414"/>
      <c r="I3" s="414"/>
      <c r="J3" s="414"/>
      <c r="K3" s="414"/>
    </row>
    <row r="4" spans="2:18" ht="37.950000000000003" customHeight="1" x14ac:dyDescent="0.3">
      <c r="B4" s="416"/>
      <c r="C4" s="2107" t="s">
        <v>770</v>
      </c>
      <c r="D4" s="2108"/>
      <c r="E4" s="2108"/>
      <c r="F4" s="2108"/>
      <c r="G4" s="2108"/>
      <c r="H4" s="414"/>
      <c r="I4" s="414"/>
      <c r="J4" s="414"/>
      <c r="K4" s="414"/>
    </row>
    <row r="5" spans="2:18" ht="18" customHeight="1" x14ac:dyDescent="0.3">
      <c r="B5" s="73"/>
      <c r="J5" s="74"/>
      <c r="K5" s="74"/>
      <c r="L5" s="74"/>
      <c r="M5" s="74"/>
      <c r="N5" s="74"/>
      <c r="O5" s="74"/>
      <c r="P5" s="74"/>
      <c r="Q5" s="74"/>
      <c r="R5" s="74"/>
    </row>
    <row r="6" spans="2:18" ht="18" customHeight="1" x14ac:dyDescent="0.3">
      <c r="B6" s="73"/>
      <c r="I6" s="112" t="s">
        <v>771</v>
      </c>
      <c r="J6" s="2102" t="s">
        <v>497</v>
      </c>
      <c r="K6" s="2104"/>
      <c r="L6" s="2104"/>
      <c r="M6" s="2104"/>
      <c r="N6" s="2104"/>
      <c r="O6" s="2104"/>
      <c r="P6" s="2104"/>
      <c r="Q6" s="2104"/>
      <c r="R6" s="2104"/>
    </row>
    <row r="7" spans="2:18" ht="18" customHeight="1" x14ac:dyDescent="0.3">
      <c r="B7" s="73"/>
      <c r="I7" s="417"/>
      <c r="J7" s="2104"/>
      <c r="K7" s="2104"/>
      <c r="L7" s="2104"/>
      <c r="M7" s="2104"/>
      <c r="N7" s="2104"/>
      <c r="O7" s="2104"/>
      <c r="P7" s="2104"/>
      <c r="Q7" s="2104"/>
      <c r="R7" s="2104"/>
    </row>
    <row r="8" spans="2:18" ht="18" customHeight="1" x14ac:dyDescent="0.3">
      <c r="B8" s="73"/>
      <c r="I8" s="417"/>
      <c r="J8" s="77"/>
      <c r="K8" s="77"/>
      <c r="L8" s="77"/>
      <c r="M8" s="77"/>
      <c r="N8" s="77"/>
      <c r="O8" s="77"/>
      <c r="P8" s="77"/>
      <c r="Q8" s="77"/>
      <c r="R8" s="77"/>
    </row>
    <row r="9" spans="2:18" ht="22.95" customHeight="1" x14ac:dyDescent="0.3">
      <c r="B9" s="73"/>
      <c r="I9" s="112" t="s">
        <v>772</v>
      </c>
      <c r="J9" s="2102" t="s">
        <v>775</v>
      </c>
      <c r="K9" s="2104"/>
      <c r="L9" s="2104"/>
      <c r="M9" s="2104"/>
      <c r="N9" s="2104"/>
      <c r="O9" s="2104"/>
      <c r="P9" s="2104"/>
      <c r="Q9" s="2104"/>
      <c r="R9" s="2104"/>
    </row>
    <row r="10" spans="2:18" ht="22.95" customHeight="1" x14ac:dyDescent="0.3">
      <c r="B10" s="73"/>
      <c r="I10" s="417"/>
      <c r="J10" s="2104"/>
      <c r="K10" s="2104"/>
      <c r="L10" s="2104"/>
      <c r="M10" s="2104"/>
      <c r="N10" s="2104"/>
      <c r="O10" s="2104"/>
      <c r="P10" s="2104"/>
      <c r="Q10" s="2104"/>
      <c r="R10" s="2104"/>
    </row>
    <row r="11" spans="2:18" ht="22.95" customHeight="1" x14ac:dyDescent="0.3">
      <c r="I11" s="417"/>
      <c r="J11" s="2104"/>
      <c r="K11" s="2104"/>
      <c r="L11" s="2104"/>
      <c r="M11" s="2104"/>
      <c r="N11" s="2104"/>
      <c r="O11" s="2104"/>
      <c r="P11" s="2104"/>
      <c r="Q11" s="2104"/>
      <c r="R11" s="2104"/>
    </row>
    <row r="12" spans="2:18" ht="18" customHeight="1" x14ac:dyDescent="0.3">
      <c r="I12" s="417"/>
      <c r="J12" s="78"/>
      <c r="K12" s="78"/>
      <c r="L12" s="78"/>
      <c r="M12" s="78"/>
      <c r="N12" s="78"/>
      <c r="O12" s="78"/>
      <c r="P12" s="78"/>
      <c r="Q12" s="78"/>
      <c r="R12" s="78"/>
    </row>
    <row r="13" spans="2:18" ht="18" customHeight="1" x14ac:dyDescent="0.3">
      <c r="B13" s="73"/>
      <c r="C13" s="79"/>
      <c r="G13" s="80"/>
      <c r="H13" s="80"/>
      <c r="I13" s="112" t="s">
        <v>773</v>
      </c>
      <c r="J13" s="2103" t="s">
        <v>776</v>
      </c>
      <c r="K13" s="2103"/>
      <c r="L13" s="2103"/>
      <c r="M13" s="2103"/>
      <c r="N13" s="2103"/>
      <c r="O13" s="2103"/>
      <c r="P13" s="2103"/>
      <c r="Q13" s="2103"/>
      <c r="R13" s="2103"/>
    </row>
    <row r="14" spans="2:18" ht="18" customHeight="1" x14ac:dyDescent="0.3">
      <c r="B14" s="73"/>
      <c r="C14" s="79"/>
      <c r="G14" s="80"/>
      <c r="H14" s="80"/>
      <c r="I14" s="417"/>
      <c r="J14" s="2103"/>
      <c r="K14" s="2103"/>
      <c r="L14" s="2103"/>
      <c r="M14" s="2103"/>
      <c r="N14" s="2103"/>
      <c r="O14" s="2103"/>
      <c r="P14" s="2103"/>
      <c r="Q14" s="2103"/>
      <c r="R14" s="2103"/>
    </row>
    <row r="15" spans="2:18" ht="18" customHeight="1" x14ac:dyDescent="0.3">
      <c r="B15" s="73"/>
      <c r="C15" s="79"/>
      <c r="G15" s="80"/>
      <c r="H15" s="80"/>
      <c r="I15" s="417"/>
      <c r="J15" s="2103"/>
      <c r="K15" s="2103"/>
      <c r="L15" s="2103"/>
      <c r="M15" s="2103"/>
      <c r="N15" s="2103"/>
      <c r="O15" s="2103"/>
      <c r="P15" s="2103"/>
      <c r="Q15" s="2103"/>
      <c r="R15" s="2103"/>
    </row>
    <row r="16" spans="2:18" ht="18" customHeight="1" x14ac:dyDescent="0.3">
      <c r="B16" s="73"/>
      <c r="C16" s="79"/>
      <c r="G16" s="80"/>
      <c r="H16" s="80"/>
      <c r="I16" s="417"/>
      <c r="J16" s="2103"/>
      <c r="K16" s="2103"/>
      <c r="L16" s="2103"/>
      <c r="M16" s="2103"/>
      <c r="N16" s="2103"/>
      <c r="O16" s="2103"/>
      <c r="P16" s="2103"/>
      <c r="Q16" s="2103"/>
      <c r="R16" s="2103"/>
    </row>
    <row r="17" spans="1:18" ht="18" customHeight="1" x14ac:dyDescent="0.3">
      <c r="B17" s="73"/>
      <c r="C17" s="80"/>
      <c r="G17" s="80"/>
      <c r="H17" s="80"/>
      <c r="I17" s="417"/>
      <c r="J17" s="77"/>
      <c r="K17" s="77"/>
      <c r="L17" s="77"/>
      <c r="M17" s="77"/>
      <c r="N17" s="77"/>
      <c r="O17" s="77"/>
      <c r="P17" s="77"/>
      <c r="Q17" s="77"/>
      <c r="R17" s="77"/>
    </row>
    <row r="18" spans="1:18" ht="18" customHeight="1" x14ac:dyDescent="0.3">
      <c r="B18" s="73"/>
      <c r="C18" s="79"/>
      <c r="D18" s="80"/>
      <c r="E18" s="80"/>
      <c r="F18" s="80"/>
      <c r="G18" s="80"/>
      <c r="H18" s="80"/>
      <c r="I18" s="112" t="s">
        <v>774</v>
      </c>
      <c r="J18" s="2102" t="s">
        <v>498</v>
      </c>
      <c r="K18" s="2102"/>
      <c r="L18" s="2102"/>
      <c r="M18" s="2102"/>
      <c r="N18" s="2102"/>
      <c r="O18" s="2102"/>
      <c r="P18" s="2102"/>
      <c r="Q18" s="2102"/>
      <c r="R18" s="2102"/>
    </row>
    <row r="19" spans="1:18" ht="18" customHeight="1" x14ac:dyDescent="0.3">
      <c r="B19" s="73"/>
      <c r="C19" s="80"/>
      <c r="D19" s="79"/>
      <c r="E19" s="79"/>
      <c r="F19" s="79"/>
      <c r="G19" s="79"/>
      <c r="H19" s="79"/>
      <c r="I19" s="79"/>
      <c r="J19" s="2102"/>
      <c r="K19" s="2102"/>
      <c r="L19" s="2102"/>
      <c r="M19" s="2102"/>
      <c r="N19" s="2102"/>
      <c r="O19" s="2102"/>
      <c r="P19" s="2102"/>
      <c r="Q19" s="2102"/>
      <c r="R19" s="2102"/>
    </row>
    <row r="20" spans="1:18" ht="18" customHeight="1" x14ac:dyDescent="0.3">
      <c r="B20" s="73"/>
      <c r="C20" s="79"/>
      <c r="D20" s="79"/>
      <c r="E20" s="79"/>
      <c r="F20" s="79"/>
      <c r="G20" s="79"/>
      <c r="H20" s="79"/>
      <c r="I20" s="79"/>
      <c r="J20" s="2102"/>
      <c r="K20" s="2102"/>
      <c r="L20" s="2102"/>
      <c r="M20" s="2102"/>
      <c r="N20" s="2102"/>
      <c r="O20" s="2102"/>
      <c r="P20" s="2102"/>
      <c r="Q20" s="2102"/>
      <c r="R20" s="2102"/>
    </row>
    <row r="21" spans="1:18" ht="40.200000000000003" customHeight="1" x14ac:dyDescent="0.3">
      <c r="A21" s="523"/>
      <c r="B21" s="418"/>
      <c r="C21" s="419"/>
      <c r="D21" s="419"/>
      <c r="E21" s="419"/>
      <c r="F21" s="419"/>
      <c r="G21" s="422"/>
      <c r="I21" s="79"/>
      <c r="J21" s="2102"/>
      <c r="K21" s="2102"/>
      <c r="L21" s="2102"/>
      <c r="M21" s="2102"/>
      <c r="N21" s="2102"/>
      <c r="O21" s="2102"/>
      <c r="P21" s="2102"/>
      <c r="Q21" s="2102"/>
      <c r="R21" s="2102"/>
    </row>
    <row r="22" spans="1:18" ht="34.950000000000003" customHeight="1" x14ac:dyDescent="0.3">
      <c r="B22" s="75"/>
      <c r="C22" s="75"/>
      <c r="D22" s="75"/>
      <c r="E22" s="75"/>
      <c r="F22" s="75"/>
      <c r="G22" s="75"/>
      <c r="H22" s="75"/>
      <c r="I22" s="75"/>
      <c r="J22" s="2102"/>
      <c r="K22" s="2102"/>
      <c r="L22" s="2102"/>
      <c r="M22" s="2102"/>
      <c r="N22" s="2102"/>
      <c r="O22" s="2102"/>
      <c r="P22" s="2102"/>
      <c r="Q22" s="2102"/>
      <c r="R22" s="2102"/>
    </row>
    <row r="23" spans="1:18" ht="18" customHeight="1" x14ac:dyDescent="0.3">
      <c r="B23" s="75"/>
      <c r="C23" s="207" t="s">
        <v>499</v>
      </c>
      <c r="D23" s="524" t="s">
        <v>472</v>
      </c>
      <c r="E23" s="76"/>
      <c r="F23" s="75"/>
      <c r="G23" s="75"/>
      <c r="H23" s="75"/>
      <c r="J23" s="2102"/>
      <c r="K23" s="2102"/>
      <c r="L23" s="2102"/>
      <c r="M23" s="2102"/>
      <c r="N23" s="2102"/>
      <c r="O23" s="2102"/>
      <c r="P23" s="2102"/>
      <c r="Q23" s="2102"/>
      <c r="R23" s="2102"/>
    </row>
    <row r="24" spans="1:18" ht="18" customHeight="1" x14ac:dyDescent="0.3">
      <c r="B24" s="75"/>
      <c r="C24" s="207" t="s">
        <v>500</v>
      </c>
      <c r="D24" s="525" t="s">
        <v>1</v>
      </c>
      <c r="E24" s="420"/>
      <c r="F24" s="421"/>
      <c r="G24" s="421"/>
      <c r="H24" s="75"/>
      <c r="I24" s="1632" t="s">
        <v>0</v>
      </c>
      <c r="J24" s="75"/>
      <c r="K24" s="75"/>
      <c r="L24" s="75"/>
      <c r="O24" s="80"/>
      <c r="P24" s="80"/>
    </row>
    <row r="25" spans="1:18" ht="18" customHeight="1" x14ac:dyDescent="0.3">
      <c r="B25" s="75"/>
      <c r="C25" s="207" t="s">
        <v>501</v>
      </c>
      <c r="D25" s="525" t="s">
        <v>2</v>
      </c>
      <c r="E25" s="420"/>
      <c r="F25" s="421"/>
      <c r="G25" s="421"/>
      <c r="H25" s="75"/>
      <c r="I25" s="75"/>
      <c r="J25" s="75"/>
      <c r="K25" s="75"/>
      <c r="L25" s="75"/>
      <c r="O25" s="80"/>
      <c r="P25" s="80"/>
    </row>
    <row r="26" spans="1:18" ht="18" customHeight="1" x14ac:dyDescent="0.3">
      <c r="B26" s="75"/>
      <c r="C26" s="207" t="s">
        <v>502</v>
      </c>
      <c r="D26" s="525" t="s">
        <v>2</v>
      </c>
      <c r="E26" s="421"/>
      <c r="F26" s="421"/>
      <c r="G26" s="421"/>
      <c r="H26" s="75"/>
      <c r="I26" s="75"/>
      <c r="J26" s="75"/>
      <c r="K26" s="75"/>
      <c r="L26" s="75"/>
      <c r="O26" s="79"/>
    </row>
    <row r="27" spans="1:18" ht="14.25" customHeight="1" x14ac:dyDescent="0.3">
      <c r="B27" s="75"/>
      <c r="C27" s="75"/>
      <c r="D27" s="75"/>
      <c r="E27" s="75"/>
      <c r="F27" s="75"/>
      <c r="G27" s="75"/>
      <c r="H27" s="75"/>
      <c r="I27" s="75"/>
      <c r="J27" s="75"/>
      <c r="K27" s="75"/>
      <c r="L27" s="75"/>
    </row>
    <row r="28" spans="1:18" ht="14.25" customHeight="1" x14ac:dyDescent="0.3">
      <c r="B28" s="75"/>
      <c r="C28" s="75"/>
      <c r="D28" s="75"/>
      <c r="E28" s="75"/>
      <c r="F28" s="75"/>
      <c r="G28" s="75"/>
      <c r="H28" s="75"/>
      <c r="I28" s="75"/>
      <c r="J28" s="75"/>
      <c r="K28" s="75"/>
      <c r="L28" s="75"/>
    </row>
    <row r="29" spans="1:18" ht="14.25" customHeight="1" x14ac:dyDescent="0.3">
      <c r="B29" s="73"/>
      <c r="C29" s="79"/>
      <c r="D29" s="79"/>
      <c r="E29" s="79"/>
      <c r="F29" s="79"/>
      <c r="G29" s="79"/>
      <c r="H29" s="79"/>
      <c r="I29" s="79"/>
      <c r="J29" s="79"/>
      <c r="K29" s="79"/>
      <c r="L29" s="79"/>
    </row>
    <row r="30" spans="1:18" ht="14.25" customHeight="1" x14ac:dyDescent="0.3">
      <c r="B30" s="73"/>
      <c r="C30" s="79"/>
      <c r="D30" s="79"/>
      <c r="E30" s="79"/>
      <c r="F30" s="79"/>
      <c r="G30" s="79"/>
      <c r="H30" s="79"/>
      <c r="I30" s="79"/>
      <c r="J30" s="79"/>
      <c r="K30" s="79"/>
      <c r="L30" s="79"/>
    </row>
    <row r="31" spans="1:18" ht="14.25" customHeight="1" x14ac:dyDescent="0.3">
      <c r="B31" s="73"/>
      <c r="C31" s="79"/>
      <c r="D31" s="79"/>
      <c r="E31" s="79"/>
      <c r="F31" s="79"/>
      <c r="G31" s="79"/>
      <c r="H31" s="79"/>
      <c r="I31" s="79"/>
      <c r="J31" s="79"/>
      <c r="K31" s="79"/>
      <c r="L31" s="79"/>
    </row>
    <row r="32" spans="1:18" ht="14.25" customHeight="1" x14ac:dyDescent="0.3">
      <c r="B32" s="73"/>
      <c r="C32" s="79"/>
      <c r="D32" s="79"/>
      <c r="E32" s="79"/>
      <c r="F32" s="79"/>
      <c r="G32" s="79"/>
      <c r="H32" s="79"/>
      <c r="I32" s="79"/>
      <c r="J32" s="79"/>
      <c r="K32" s="79"/>
      <c r="L32" s="79"/>
    </row>
    <row r="33" spans="2:12" ht="14.25" customHeight="1" x14ac:dyDescent="0.3">
      <c r="B33" s="73"/>
      <c r="C33" s="79"/>
      <c r="H33" s="79"/>
      <c r="I33" s="79"/>
      <c r="J33" s="79"/>
      <c r="K33" s="79"/>
      <c r="L33" s="79"/>
    </row>
    <row r="34" spans="2:12" ht="14.25" customHeight="1" x14ac:dyDescent="0.3">
      <c r="B34" s="73"/>
      <c r="C34" s="79"/>
      <c r="H34" s="79"/>
      <c r="I34" s="79"/>
      <c r="J34" s="79"/>
      <c r="K34" s="79"/>
      <c r="L34" s="79"/>
    </row>
    <row r="35" spans="2:12" ht="14.25" customHeight="1" x14ac:dyDescent="0.3">
      <c r="B35" s="73"/>
      <c r="C35" s="79"/>
      <c r="D35" s="79"/>
      <c r="E35" s="79"/>
      <c r="F35" s="79"/>
      <c r="G35" s="79"/>
      <c r="H35" s="79"/>
      <c r="I35" s="79"/>
      <c r="J35" s="79"/>
      <c r="K35" s="79"/>
      <c r="L35" s="79"/>
    </row>
    <row r="36" spans="2:12" ht="14.25" customHeight="1" x14ac:dyDescent="0.3">
      <c r="B36" s="73"/>
      <c r="C36" s="79"/>
      <c r="D36" s="79"/>
      <c r="E36" s="79"/>
      <c r="F36" s="79"/>
      <c r="G36" s="79"/>
      <c r="H36" s="79"/>
      <c r="I36" s="79"/>
      <c r="J36" s="79"/>
      <c r="K36" s="79"/>
      <c r="L36" s="79"/>
    </row>
    <row r="37" spans="2:12" ht="14.25" customHeight="1" x14ac:dyDescent="0.3">
      <c r="B37" s="73"/>
      <c r="C37" s="79" t="s">
        <v>3</v>
      </c>
      <c r="D37" s="79"/>
      <c r="E37" s="79"/>
      <c r="F37" s="79"/>
      <c r="G37" s="79"/>
      <c r="H37" s="79"/>
      <c r="I37" s="79"/>
      <c r="J37" s="79"/>
      <c r="K37" s="79"/>
      <c r="L37" s="79"/>
    </row>
    <row r="38" spans="2:12" ht="14.25" customHeight="1" x14ac:dyDescent="0.3">
      <c r="B38" s="73"/>
      <c r="C38" s="79"/>
      <c r="D38" s="79"/>
      <c r="E38" s="79"/>
      <c r="F38" s="79"/>
      <c r="G38" s="79"/>
      <c r="H38" s="79"/>
      <c r="I38" s="79"/>
      <c r="J38" s="79"/>
      <c r="K38" s="79"/>
      <c r="L38" s="79"/>
    </row>
    <row r="39" spans="2:12" ht="14.25" customHeight="1" x14ac:dyDescent="0.3">
      <c r="B39" s="73"/>
      <c r="C39" s="79"/>
      <c r="D39" s="79"/>
      <c r="E39" s="79"/>
      <c r="F39" s="79"/>
      <c r="G39" s="79"/>
      <c r="H39" s="79"/>
      <c r="I39" s="79"/>
      <c r="J39" s="79"/>
      <c r="K39" s="79"/>
      <c r="L39" s="79"/>
    </row>
    <row r="40" spans="2:12" ht="14.25" customHeight="1" x14ac:dyDescent="0.3">
      <c r="B40" s="73"/>
      <c r="C40" s="79"/>
      <c r="D40" s="79"/>
      <c r="E40" s="79"/>
      <c r="F40" s="79"/>
      <c r="G40" s="79"/>
      <c r="H40" s="79"/>
      <c r="I40" s="79"/>
      <c r="J40" s="79"/>
      <c r="K40" s="79"/>
      <c r="L40" s="79"/>
    </row>
    <row r="41" spans="2:12" ht="14.25" customHeight="1" x14ac:dyDescent="0.3">
      <c r="B41" s="73"/>
      <c r="C41" s="79"/>
      <c r="D41" s="79"/>
      <c r="E41" s="79"/>
      <c r="F41" s="79"/>
      <c r="G41" s="79"/>
      <c r="H41" s="79"/>
      <c r="I41" s="79"/>
      <c r="J41" s="79"/>
      <c r="K41" s="79"/>
      <c r="L41" s="79"/>
    </row>
    <row r="42" spans="2:12" ht="14.25" customHeight="1" x14ac:dyDescent="0.3">
      <c r="B42" s="73"/>
      <c r="C42" s="79"/>
      <c r="D42" s="79"/>
      <c r="E42" s="79"/>
      <c r="F42" s="79"/>
      <c r="G42" s="79"/>
      <c r="H42" s="79"/>
      <c r="I42" s="79"/>
      <c r="J42" s="79"/>
      <c r="K42" s="79"/>
      <c r="L42" s="79"/>
    </row>
    <row r="43" spans="2:12" ht="14.25" customHeight="1" x14ac:dyDescent="0.3">
      <c r="B43" s="73"/>
      <c r="C43" s="79"/>
      <c r="D43" s="79"/>
      <c r="E43" s="79"/>
      <c r="F43" s="79"/>
      <c r="G43" s="79"/>
      <c r="H43" s="79"/>
      <c r="I43" s="79"/>
      <c r="J43" s="79"/>
      <c r="K43" s="79"/>
      <c r="L43" s="79"/>
    </row>
    <row r="44" spans="2:12" ht="14.25" customHeight="1" x14ac:dyDescent="0.3">
      <c r="B44" s="73"/>
      <c r="C44" s="79"/>
      <c r="D44" s="79"/>
      <c r="E44" s="79"/>
      <c r="F44" s="79"/>
      <c r="G44" s="79"/>
      <c r="H44" s="79"/>
      <c r="I44" s="79"/>
      <c r="J44" s="79"/>
      <c r="K44" s="79"/>
      <c r="L44" s="79"/>
    </row>
    <row r="45" spans="2:12" ht="14.25" customHeight="1" x14ac:dyDescent="0.3">
      <c r="B45" s="73"/>
      <c r="C45" s="79"/>
      <c r="D45" s="79"/>
      <c r="E45" s="79"/>
      <c r="F45" s="79"/>
      <c r="G45" s="79"/>
      <c r="H45" s="79"/>
      <c r="I45" s="79"/>
      <c r="J45" s="79"/>
      <c r="K45" s="79"/>
      <c r="L45" s="79"/>
    </row>
    <row r="46" spans="2:12" ht="14.25" customHeight="1" x14ac:dyDescent="0.3">
      <c r="B46" s="73"/>
      <c r="C46" s="79"/>
      <c r="D46" s="79"/>
      <c r="E46" s="79"/>
      <c r="F46" s="79"/>
      <c r="G46" s="79"/>
      <c r="H46" s="79"/>
      <c r="I46" s="79"/>
      <c r="J46" s="79"/>
      <c r="K46" s="79"/>
      <c r="L46" s="79"/>
    </row>
    <row r="47" spans="2:12" ht="14.25" customHeight="1" x14ac:dyDescent="0.3">
      <c r="B47" s="73"/>
      <c r="C47" s="79"/>
      <c r="D47" s="79"/>
      <c r="E47" s="79"/>
      <c r="F47" s="79"/>
      <c r="G47" s="79"/>
      <c r="H47" s="79"/>
      <c r="I47" s="79"/>
      <c r="J47" s="79"/>
      <c r="K47" s="79"/>
      <c r="L47" s="79"/>
    </row>
    <row r="48" spans="2:12" ht="14.25" customHeight="1" x14ac:dyDescent="0.3">
      <c r="B48" s="73"/>
      <c r="C48" s="79"/>
    </row>
    <row r="49" spans="2:3" ht="14.25" customHeight="1" x14ac:dyDescent="0.3">
      <c r="B49" s="73"/>
      <c r="C49" s="79"/>
    </row>
    <row r="50" spans="2:3" ht="14.25" customHeight="1" x14ac:dyDescent="0.3">
      <c r="B50" s="73"/>
      <c r="C50" s="79"/>
    </row>
    <row r="51" spans="2:3" ht="14.25" customHeight="1" x14ac:dyDescent="0.3">
      <c r="B51" s="73"/>
      <c r="C51" s="79"/>
    </row>
    <row r="52" spans="2:3" ht="14.25" customHeight="1" x14ac:dyDescent="0.3">
      <c r="B52" s="73"/>
      <c r="C52" s="79"/>
    </row>
    <row r="53" spans="2:3" ht="14.25" customHeight="1" x14ac:dyDescent="0.3">
      <c r="B53" s="73"/>
      <c r="C53" s="81"/>
    </row>
    <row r="54" spans="2:3" ht="14.25" customHeight="1" x14ac:dyDescent="0.3">
      <c r="B54" s="73"/>
      <c r="C54" s="82"/>
    </row>
    <row r="55" spans="2:3" ht="14.25" customHeight="1" x14ac:dyDescent="0.3">
      <c r="B55" s="73"/>
      <c r="C55" s="82"/>
    </row>
    <row r="56" spans="2:3" ht="14.25" customHeight="1" x14ac:dyDescent="0.3">
      <c r="B56" s="73"/>
      <c r="C56" s="82"/>
    </row>
    <row r="57" spans="2:3" ht="14.25" customHeight="1" x14ac:dyDescent="0.3">
      <c r="B57" s="73"/>
      <c r="C57" s="82"/>
    </row>
    <row r="58" spans="2:3" ht="14.25" customHeight="1" x14ac:dyDescent="0.3">
      <c r="B58" s="73"/>
      <c r="C58" s="82"/>
    </row>
    <row r="59" spans="2:3" ht="14.25" customHeight="1" x14ac:dyDescent="0.3">
      <c r="B59" s="73"/>
      <c r="C59" s="82"/>
    </row>
    <row r="60" spans="2:3" ht="14.25" customHeight="1" x14ac:dyDescent="0.3">
      <c r="B60" s="73"/>
      <c r="C60" s="82"/>
    </row>
    <row r="61" spans="2:3" ht="14.25" customHeight="1" x14ac:dyDescent="0.3">
      <c r="B61" s="73"/>
      <c r="C61" s="82"/>
    </row>
    <row r="62" spans="2:3" ht="14.25" customHeight="1" x14ac:dyDescent="0.3">
      <c r="B62" s="73"/>
      <c r="C62" s="82"/>
    </row>
    <row r="63" spans="2:3" ht="14.25" customHeight="1" x14ac:dyDescent="0.3">
      <c r="B63" s="73"/>
      <c r="C63" s="82"/>
    </row>
    <row r="64" spans="2:3" ht="14.25" customHeight="1" x14ac:dyDescent="0.3">
      <c r="B64" s="73"/>
      <c r="C64" s="82"/>
    </row>
    <row r="65" spans="2:3" ht="14.25" customHeight="1" x14ac:dyDescent="0.3">
      <c r="B65" s="73"/>
      <c r="C65" s="82"/>
    </row>
    <row r="66" spans="2:3" ht="14.25" customHeight="1" x14ac:dyDescent="0.3">
      <c r="B66" s="73"/>
      <c r="C66" s="82"/>
    </row>
    <row r="67" spans="2:3" ht="14.25" customHeight="1" x14ac:dyDescent="0.3">
      <c r="B67" s="73"/>
      <c r="C67" s="82"/>
    </row>
    <row r="68" spans="2:3" ht="14.25" customHeight="1" x14ac:dyDescent="0.3">
      <c r="B68" s="73"/>
      <c r="C68" s="82"/>
    </row>
    <row r="69" spans="2:3" ht="14.25" customHeight="1" x14ac:dyDescent="0.3">
      <c r="B69" s="73"/>
      <c r="C69" s="82"/>
    </row>
    <row r="70" spans="2:3" ht="14.25" customHeight="1" x14ac:dyDescent="0.3">
      <c r="B70" s="73"/>
      <c r="C70" s="82"/>
    </row>
    <row r="71" spans="2:3" ht="14.25" customHeight="1" x14ac:dyDescent="0.3">
      <c r="B71" s="73"/>
      <c r="C71" s="82"/>
    </row>
    <row r="72" spans="2:3" ht="14.25" customHeight="1" x14ac:dyDescent="0.3">
      <c r="B72" s="73"/>
      <c r="C72" s="82"/>
    </row>
    <row r="73" spans="2:3" ht="14.25" customHeight="1" x14ac:dyDescent="0.3">
      <c r="B73" s="73"/>
      <c r="C73" s="82"/>
    </row>
    <row r="74" spans="2:3" ht="14.25" customHeight="1" x14ac:dyDescent="0.3">
      <c r="B74" s="73"/>
      <c r="C74" s="82"/>
    </row>
    <row r="75" spans="2:3" ht="14.25" customHeight="1" x14ac:dyDescent="0.3">
      <c r="B75" s="73"/>
      <c r="C75" s="82"/>
    </row>
    <row r="76" spans="2:3" ht="14.25" customHeight="1" x14ac:dyDescent="0.3">
      <c r="B76" s="73"/>
      <c r="C76" s="82"/>
    </row>
    <row r="77" spans="2:3" ht="14.25" customHeight="1" x14ac:dyDescent="0.3">
      <c r="B77" s="73"/>
      <c r="C77" s="82"/>
    </row>
    <row r="78" spans="2:3" ht="14.25" customHeight="1" x14ac:dyDescent="0.3">
      <c r="B78" s="73"/>
      <c r="C78" s="82"/>
    </row>
    <row r="79" spans="2:3" ht="14.25" customHeight="1" x14ac:dyDescent="0.3">
      <c r="B79" s="73"/>
      <c r="C79" s="79"/>
    </row>
    <row r="80" spans="2:3" ht="14.25" customHeight="1" x14ac:dyDescent="0.3">
      <c r="B80" s="73"/>
      <c r="C80" s="79"/>
    </row>
    <row r="81" spans="2:3" ht="14.25" customHeight="1" x14ac:dyDescent="0.3">
      <c r="B81" s="73"/>
      <c r="C81" s="79"/>
    </row>
    <row r="82" spans="2:3" ht="14.25" customHeight="1" x14ac:dyDescent="0.3">
      <c r="B82" s="73"/>
      <c r="C82" s="79"/>
    </row>
    <row r="83" spans="2:3" ht="14.25" customHeight="1" x14ac:dyDescent="0.3">
      <c r="B83" s="73"/>
      <c r="C83" s="79"/>
    </row>
    <row r="84" spans="2:3" ht="14.25" customHeight="1" x14ac:dyDescent="0.3">
      <c r="B84" s="73"/>
      <c r="C84" s="79"/>
    </row>
    <row r="85" spans="2:3" ht="14.25" customHeight="1" x14ac:dyDescent="0.3">
      <c r="B85" s="73"/>
      <c r="C85" s="79"/>
    </row>
    <row r="86" spans="2:3" ht="14.25" customHeight="1" x14ac:dyDescent="0.3">
      <c r="B86" s="73"/>
      <c r="C86" s="79"/>
    </row>
    <row r="87" spans="2:3" ht="14.25" customHeight="1" x14ac:dyDescent="0.3">
      <c r="B87" s="73"/>
      <c r="C87" s="79"/>
    </row>
    <row r="88" spans="2:3" ht="14.25" customHeight="1" x14ac:dyDescent="0.3">
      <c r="B88" s="73"/>
      <c r="C88" s="79"/>
    </row>
    <row r="89" spans="2:3" ht="14.25" customHeight="1" x14ac:dyDescent="0.3">
      <c r="B89" s="73"/>
      <c r="C89" s="79"/>
    </row>
    <row r="90" spans="2:3" ht="14.25" customHeight="1" x14ac:dyDescent="0.3">
      <c r="B90" s="73"/>
      <c r="C90" s="79"/>
    </row>
    <row r="91" spans="2:3" ht="14.25" customHeight="1" x14ac:dyDescent="0.3">
      <c r="B91" s="73"/>
      <c r="C91" s="79"/>
    </row>
    <row r="92" spans="2:3" ht="14.25" customHeight="1" x14ac:dyDescent="0.3">
      <c r="B92" s="73"/>
      <c r="C92" s="79"/>
    </row>
    <row r="93" spans="2:3" ht="14.25" customHeight="1" x14ac:dyDescent="0.3">
      <c r="B93" s="73"/>
      <c r="C93" s="79"/>
    </row>
    <row r="94" spans="2:3" ht="14.25" customHeight="1" x14ac:dyDescent="0.3">
      <c r="B94" s="73"/>
      <c r="C94" s="79"/>
    </row>
    <row r="95" spans="2:3" ht="14.25" customHeight="1" x14ac:dyDescent="0.3">
      <c r="B95" s="73"/>
      <c r="C95" s="79"/>
    </row>
    <row r="96" spans="2:3" ht="14.25" customHeight="1" x14ac:dyDescent="0.3">
      <c r="B96" s="73"/>
      <c r="C96" s="79"/>
    </row>
    <row r="97" spans="2:3" ht="14.25" customHeight="1" x14ac:dyDescent="0.3">
      <c r="B97" s="73"/>
      <c r="C97" s="79"/>
    </row>
    <row r="98" spans="2:3" ht="14.25" customHeight="1" x14ac:dyDescent="0.3">
      <c r="B98" s="73"/>
      <c r="C98" s="79"/>
    </row>
    <row r="99" spans="2:3" ht="14.25" customHeight="1" x14ac:dyDescent="0.3">
      <c r="B99" s="73"/>
      <c r="C99" s="79"/>
    </row>
    <row r="100" spans="2:3" ht="14.25" customHeight="1" x14ac:dyDescent="0.3">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E11" sqref="E11"/>
    </sheetView>
  </sheetViews>
  <sheetFormatPr defaultColWidth="14.44140625" defaultRowHeight="15" customHeight="1" x14ac:dyDescent="0.3"/>
  <cols>
    <col min="1" max="1" width="0.33203125" style="86" customWidth="1"/>
    <col min="2" max="2" width="1" style="86" customWidth="1"/>
    <col min="3" max="3" width="36.33203125" style="86" customWidth="1"/>
    <col min="4" max="4" width="14.44140625" style="86" customWidth="1"/>
    <col min="5" max="5" width="12.44140625" style="86" customWidth="1"/>
    <col min="6" max="6" width="11.44140625" style="86" customWidth="1"/>
    <col min="7" max="7" width="16.6640625" style="86" customWidth="1"/>
    <col min="8" max="8" width="11.33203125" style="86" customWidth="1"/>
    <col min="9" max="9" width="12.33203125" style="86" customWidth="1"/>
    <col min="10" max="10" width="13.33203125" style="86" customWidth="1"/>
    <col min="11" max="11" width="15.44140625" style="86" customWidth="1"/>
    <col min="12" max="13" width="13.33203125" style="86" customWidth="1"/>
    <col min="14" max="14" width="10.44140625" style="86" customWidth="1"/>
    <col min="15" max="15" width="3.33203125" style="86" customWidth="1"/>
    <col min="16" max="16" width="9.6640625" style="86" hidden="1" customWidth="1"/>
    <col min="17" max="17" width="11.44140625" style="86" customWidth="1"/>
    <col min="18" max="18" width="10.33203125" style="84" customWidth="1"/>
    <col min="19" max="19" width="10" customWidth="1"/>
    <col min="20" max="20" width="9.6640625" customWidth="1"/>
    <col min="21" max="21" width="9.44140625" customWidth="1"/>
    <col min="22" max="22" width="10.44140625" customWidth="1"/>
    <col min="23" max="25" width="8.6640625" customWidth="1"/>
  </cols>
  <sheetData>
    <row r="1" spans="1:25" ht="12.75" customHeight="1" x14ac:dyDescent="0.3">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3">
      <c r="A2" s="85"/>
      <c r="B2" s="434"/>
      <c r="C2" s="531" t="s">
        <v>485</v>
      </c>
      <c r="D2" s="2131" t="s">
        <v>1000</v>
      </c>
      <c r="E2" s="2132"/>
      <c r="F2" s="2133"/>
      <c r="G2" s="434"/>
      <c r="H2" s="2134" t="s">
        <v>5</v>
      </c>
      <c r="I2" s="2135"/>
      <c r="J2" s="2136"/>
      <c r="K2" s="434"/>
      <c r="L2" s="434"/>
      <c r="M2" s="434"/>
      <c r="N2" s="434"/>
      <c r="O2" s="983"/>
      <c r="P2" s="983" t="s">
        <v>6</v>
      </c>
      <c r="Q2" s="983"/>
      <c r="R2" s="983"/>
      <c r="S2" s="983"/>
      <c r="T2" s="983"/>
      <c r="U2" s="983"/>
      <c r="V2" s="3"/>
      <c r="W2" s="3"/>
      <c r="X2" s="3"/>
      <c r="Y2" s="3"/>
    </row>
    <row r="3" spans="1:25" ht="18" customHeight="1" x14ac:dyDescent="0.3">
      <c r="A3" s="85"/>
      <c r="B3" s="434"/>
      <c r="C3" s="531" t="s">
        <v>486</v>
      </c>
      <c r="D3" s="2131" t="s">
        <v>1001</v>
      </c>
      <c r="E3" s="2132"/>
      <c r="F3" s="2133"/>
      <c r="G3" s="434"/>
      <c r="H3" s="2137"/>
      <c r="I3" s="2138"/>
      <c r="J3" s="2139"/>
      <c r="K3" s="434"/>
      <c r="L3" s="434"/>
      <c r="M3" s="434"/>
      <c r="N3" s="434"/>
      <c r="O3" s="983"/>
      <c r="P3" s="983" t="s">
        <v>7</v>
      </c>
      <c r="Q3" s="983"/>
      <c r="R3" s="983"/>
      <c r="S3" s="983"/>
      <c r="T3" s="983"/>
      <c r="U3" s="983"/>
      <c r="V3" s="3"/>
      <c r="W3" s="3"/>
      <c r="X3" s="3"/>
      <c r="Y3" s="3"/>
    </row>
    <row r="4" spans="1:25" ht="18" customHeight="1" x14ac:dyDescent="0.35">
      <c r="A4" s="85"/>
      <c r="B4" s="434"/>
      <c r="C4" s="434"/>
      <c r="D4" s="434"/>
      <c r="E4" s="434"/>
      <c r="F4" s="434"/>
      <c r="G4" s="434"/>
      <c r="H4" s="434"/>
      <c r="I4" s="434"/>
      <c r="J4" s="434"/>
      <c r="K4" s="434"/>
      <c r="L4" s="2120" t="s">
        <v>473</v>
      </c>
      <c r="M4" s="2121"/>
      <c r="N4" s="2121"/>
      <c r="O4" s="983"/>
      <c r="P4" s="983"/>
      <c r="Q4" s="983"/>
      <c r="R4" s="983"/>
      <c r="S4" s="983"/>
      <c r="T4" s="983"/>
      <c r="U4" s="983"/>
      <c r="V4" s="3"/>
      <c r="W4" s="3"/>
      <c r="X4" s="3"/>
      <c r="Y4" s="3"/>
    </row>
    <row r="5" spans="1:25" ht="18" customHeight="1" x14ac:dyDescent="0.35">
      <c r="A5" s="526"/>
      <c r="B5" s="90"/>
      <c r="C5" s="93" t="s">
        <v>8</v>
      </c>
      <c r="D5" s="91"/>
      <c r="E5" s="91"/>
      <c r="F5" s="434"/>
      <c r="G5" s="434"/>
      <c r="H5" s="212" t="s">
        <v>503</v>
      </c>
      <c r="I5" s="423"/>
      <c r="J5" s="424"/>
      <c r="K5" s="85"/>
      <c r="L5" s="2122" t="str">
        <f>Apresentação!I2</f>
        <v>RC-RSU V.1.0 - 15/10/2020</v>
      </c>
      <c r="M5" s="2122"/>
      <c r="N5" s="2122"/>
      <c r="O5" s="983"/>
      <c r="P5" s="983"/>
      <c r="Q5" s="983"/>
      <c r="R5" s="983"/>
      <c r="S5" s="983"/>
      <c r="T5" s="983"/>
      <c r="U5" s="983"/>
      <c r="V5" s="3"/>
      <c r="W5" s="3"/>
      <c r="X5" s="3"/>
      <c r="Y5" s="3"/>
    </row>
    <row r="6" spans="1:25" s="62" customFormat="1" ht="4.2" customHeight="1" x14ac:dyDescent="0.3">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3">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3">
      <c r="A8" s="85"/>
      <c r="B8" s="434"/>
      <c r="C8" s="119"/>
      <c r="D8" s="113" t="s">
        <v>9</v>
      </c>
      <c r="E8" s="534">
        <v>411597</v>
      </c>
      <c r="F8" s="529" t="s">
        <v>1097</v>
      </c>
      <c r="G8" s="529" t="s">
        <v>1098</v>
      </c>
      <c r="H8" s="557"/>
      <c r="I8" s="433" t="s">
        <v>723</v>
      </c>
      <c r="J8" s="434"/>
      <c r="K8" s="434"/>
      <c r="L8" s="434"/>
      <c r="M8" s="434"/>
      <c r="N8" s="434"/>
      <c r="O8" s="983"/>
      <c r="P8" s="983" t="s">
        <v>10</v>
      </c>
      <c r="Q8" s="983"/>
      <c r="R8" s="983"/>
      <c r="S8" s="983"/>
      <c r="T8" s="983"/>
      <c r="U8" s="983"/>
      <c r="V8" s="3"/>
      <c r="W8" s="3"/>
      <c r="X8" s="3"/>
      <c r="Y8" s="3"/>
    </row>
    <row r="9" spans="1:25" ht="18" customHeight="1" x14ac:dyDescent="0.3">
      <c r="A9" s="85"/>
      <c r="B9" s="434"/>
      <c r="C9" s="436"/>
      <c r="D9" s="561" t="s">
        <v>814</v>
      </c>
      <c r="E9" s="535">
        <f>(E10+'R&amp;C-Painel de Controle'!D31)*1000/E8</f>
        <v>0.75316389575239862</v>
      </c>
      <c r="F9" s="602">
        <f>(E10)*1000/E8</f>
        <v>0.60739023850999885</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2" customHeight="1" x14ac:dyDescent="0.3">
      <c r="A10" s="85"/>
      <c r="B10" s="434"/>
      <c r="C10" s="436"/>
      <c r="D10" s="561" t="s">
        <v>12</v>
      </c>
      <c r="E10" s="534">
        <f>'[1]Coef. Algoritmos'!$H$3</f>
        <v>250</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3">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3">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5" customHeight="1" x14ac:dyDescent="0.3">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3">
      <c r="A14" s="85"/>
      <c r="B14" s="434"/>
      <c r="C14" s="562"/>
      <c r="D14" s="563" t="s">
        <v>504</v>
      </c>
      <c r="E14" s="560">
        <f>IF(E12="per capita",E9*E8/1000,E10)</f>
        <v>250</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3">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2" customHeight="1" x14ac:dyDescent="0.3">
      <c r="A16" s="85"/>
      <c r="B16" s="434"/>
      <c r="C16" s="2127" t="s">
        <v>931</v>
      </c>
      <c r="D16" s="2128"/>
      <c r="E16" s="2128"/>
      <c r="F16" s="2128"/>
      <c r="G16" s="2128"/>
      <c r="H16" s="2128"/>
      <c r="I16" s="2128"/>
      <c r="J16" s="434"/>
      <c r="K16" s="434"/>
      <c r="L16" s="434"/>
      <c r="M16" s="434"/>
      <c r="N16" s="434"/>
      <c r="O16" s="983"/>
      <c r="P16" s="983"/>
      <c r="Q16" s="983"/>
      <c r="R16" s="983"/>
      <c r="S16" s="983"/>
      <c r="T16" s="983"/>
      <c r="U16" s="983"/>
      <c r="V16" s="3"/>
      <c r="W16" s="3"/>
      <c r="X16" s="3"/>
      <c r="Y16" s="3"/>
    </row>
    <row r="17" spans="1:25" ht="18" customHeight="1" x14ac:dyDescent="0.3">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3">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3">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3">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3">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5" customHeight="1" x14ac:dyDescent="0.3">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3">
      <c r="A23" s="87"/>
      <c r="B23" s="529"/>
      <c r="C23" s="2140" t="s">
        <v>16</v>
      </c>
      <c r="D23" s="2142" t="s">
        <v>736</v>
      </c>
      <c r="E23" s="2116"/>
      <c r="F23" s="2116"/>
      <c r="G23" s="2115" t="s">
        <v>830</v>
      </c>
      <c r="H23" s="2115" t="s">
        <v>17</v>
      </c>
      <c r="I23" s="2116"/>
      <c r="J23" s="529"/>
      <c r="K23" s="529"/>
      <c r="L23" s="529"/>
      <c r="M23" s="529"/>
      <c r="N23" s="434"/>
      <c r="O23" s="983"/>
      <c r="P23" s="983"/>
      <c r="Q23" s="983"/>
      <c r="R23" s="983"/>
      <c r="S23" s="983"/>
      <c r="T23" s="983"/>
      <c r="U23" s="983"/>
      <c r="V23" s="3"/>
      <c r="W23" s="7"/>
      <c r="X23" s="7"/>
      <c r="Y23" s="8"/>
    </row>
    <row r="24" spans="1:25" ht="18.45" hidden="1" customHeight="1" x14ac:dyDescent="0.3">
      <c r="A24" s="87"/>
      <c r="B24" s="529"/>
      <c r="C24" s="2116"/>
      <c r="D24" s="2141" t="s">
        <v>18</v>
      </c>
      <c r="E24" s="2141" t="s">
        <v>19</v>
      </c>
      <c r="F24" s="2141" t="s">
        <v>20</v>
      </c>
      <c r="G24" s="2116"/>
      <c r="H24" s="2116"/>
      <c r="I24" s="2116"/>
      <c r="J24" s="529"/>
      <c r="K24" s="547"/>
      <c r="L24" s="529"/>
      <c r="M24" s="529"/>
      <c r="N24" s="434"/>
      <c r="O24" s="983"/>
      <c r="P24" s="983"/>
      <c r="Q24" s="983"/>
      <c r="R24" s="983"/>
      <c r="S24" s="983"/>
      <c r="T24" s="983"/>
      <c r="U24" s="983"/>
      <c r="V24" s="3"/>
      <c r="W24" s="7"/>
      <c r="X24" s="7"/>
      <c r="Y24" s="7"/>
    </row>
    <row r="25" spans="1:25" ht="30.45" customHeight="1" x14ac:dyDescent="0.3">
      <c r="A25" s="85"/>
      <c r="B25" s="434"/>
      <c r="C25" s="2116"/>
      <c r="D25" s="2116"/>
      <c r="E25" s="2116"/>
      <c r="F25" s="2116"/>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3">
      <c r="A26" s="85"/>
      <c r="B26" s="434"/>
      <c r="C26" s="539" t="s">
        <v>24</v>
      </c>
      <c r="D26" s="981">
        <f>51.4-D27</f>
        <v>48.4</v>
      </c>
      <c r="E26" s="501">
        <f t="shared" ref="E26:E39" si="0">IF($G$21&lt;&gt;"Não",F26,D26)</f>
        <v>48.4</v>
      </c>
      <c r="F26" s="95">
        <v>48.4</v>
      </c>
      <c r="G26" s="98">
        <f t="shared" ref="G26:G39" si="1">$E$14*E26/100</f>
        <v>121</v>
      </c>
      <c r="H26" s="2123">
        <f>E26+E27</f>
        <v>51.4</v>
      </c>
      <c r="I26" s="2125" t="s">
        <v>25</v>
      </c>
      <c r="J26" s="434"/>
      <c r="K26" s="434"/>
      <c r="L26" s="434"/>
      <c r="M26" s="434"/>
      <c r="N26" s="434"/>
      <c r="O26" s="983"/>
      <c r="P26" s="983"/>
      <c r="Q26" s="983"/>
      <c r="R26" s="983"/>
      <c r="S26" s="983"/>
      <c r="T26" s="983"/>
      <c r="U26" s="983"/>
      <c r="V26" s="3"/>
      <c r="W26" s="3"/>
      <c r="X26" s="3"/>
      <c r="Y26" s="3"/>
    </row>
    <row r="27" spans="1:25" ht="18" customHeight="1" x14ac:dyDescent="0.3">
      <c r="A27" s="85"/>
      <c r="B27" s="434"/>
      <c r="C27" s="539" t="s">
        <v>26</v>
      </c>
      <c r="D27" s="981">
        <v>3</v>
      </c>
      <c r="E27" s="501">
        <f t="shared" si="0"/>
        <v>3</v>
      </c>
      <c r="F27" s="95">
        <v>3</v>
      </c>
      <c r="G27" s="98">
        <f t="shared" si="1"/>
        <v>7.5</v>
      </c>
      <c r="H27" s="2124"/>
      <c r="I27" s="2126"/>
      <c r="J27" s="434"/>
      <c r="K27" s="434"/>
      <c r="L27" s="434"/>
      <c r="M27" s="434"/>
      <c r="N27" s="434"/>
      <c r="O27" s="983"/>
      <c r="P27" s="983"/>
      <c r="Q27" s="983"/>
      <c r="R27" s="983"/>
      <c r="S27" s="983"/>
      <c r="T27" s="983"/>
      <c r="U27" s="983"/>
      <c r="V27" s="3"/>
      <c r="W27" s="3"/>
      <c r="X27" s="3"/>
      <c r="Y27" s="3"/>
    </row>
    <row r="28" spans="1:25" ht="18" customHeight="1" x14ac:dyDescent="0.3">
      <c r="A28" s="85"/>
      <c r="B28" s="434"/>
      <c r="C28" s="539" t="s">
        <v>27</v>
      </c>
      <c r="D28" s="981">
        <v>13.1</v>
      </c>
      <c r="E28" s="501">
        <f t="shared" si="0"/>
        <v>13.1</v>
      </c>
      <c r="F28" s="95">
        <v>13.1</v>
      </c>
      <c r="G28" s="98">
        <f t="shared" si="1"/>
        <v>32.75</v>
      </c>
      <c r="H28" s="2123">
        <f>SUM(E28:E33)</f>
        <v>31.900000000000002</v>
      </c>
      <c r="I28" s="2125" t="s">
        <v>28</v>
      </c>
      <c r="J28" s="434"/>
      <c r="K28" s="434"/>
      <c r="L28" s="544"/>
      <c r="M28" s="434"/>
      <c r="N28" s="434"/>
      <c r="O28" s="983"/>
      <c r="P28" s="983"/>
      <c r="Q28" s="983"/>
      <c r="R28" s="983"/>
      <c r="S28" s="983"/>
      <c r="T28" s="983"/>
      <c r="U28" s="983"/>
      <c r="V28" s="3"/>
      <c r="W28" s="3"/>
      <c r="X28" s="3"/>
      <c r="Y28" s="3"/>
    </row>
    <row r="29" spans="1:25" ht="18" customHeight="1" x14ac:dyDescent="0.3">
      <c r="A29" s="85"/>
      <c r="B29" s="434"/>
      <c r="C29" s="539" t="s">
        <v>29</v>
      </c>
      <c r="D29" s="981">
        <v>8.9</v>
      </c>
      <c r="E29" s="501">
        <f t="shared" si="0"/>
        <v>8.9</v>
      </c>
      <c r="F29" s="95">
        <v>8.9</v>
      </c>
      <c r="G29" s="98">
        <f t="shared" si="1"/>
        <v>22.25</v>
      </c>
      <c r="H29" s="2124"/>
      <c r="I29" s="2126"/>
      <c r="J29" s="434"/>
      <c r="K29" s="434"/>
      <c r="L29" s="434"/>
      <c r="M29" s="434"/>
      <c r="N29" s="434"/>
      <c r="O29" s="983"/>
      <c r="P29" s="983"/>
      <c r="Q29" s="983"/>
      <c r="R29" s="983"/>
      <c r="S29" s="983"/>
      <c r="T29" s="983"/>
      <c r="U29" s="983"/>
      <c r="V29" s="3"/>
      <c r="W29" s="3"/>
      <c r="X29" s="3"/>
      <c r="Y29" s="3"/>
    </row>
    <row r="30" spans="1:25" ht="18" customHeight="1" x14ac:dyDescent="0.3">
      <c r="A30" s="85"/>
      <c r="B30" s="434"/>
      <c r="C30" s="539" t="s">
        <v>30</v>
      </c>
      <c r="D30" s="981">
        <v>4.5999999999999996</v>
      </c>
      <c r="E30" s="501">
        <f t="shared" si="0"/>
        <v>4.5999999999999996</v>
      </c>
      <c r="F30" s="95">
        <v>4.5999999999999996</v>
      </c>
      <c r="G30" s="98">
        <f t="shared" si="1"/>
        <v>11.5</v>
      </c>
      <c r="H30" s="2124"/>
      <c r="I30" s="2126"/>
      <c r="J30" s="434"/>
      <c r="K30" s="434"/>
      <c r="L30" s="434"/>
      <c r="M30" s="434"/>
      <c r="N30" s="434"/>
      <c r="O30" s="983"/>
      <c r="P30" s="983"/>
      <c r="Q30" s="983"/>
      <c r="R30" s="983"/>
      <c r="S30" s="983"/>
      <c r="T30" s="983"/>
      <c r="U30" s="983"/>
      <c r="V30" s="3"/>
      <c r="W30" s="3"/>
      <c r="X30" s="3"/>
      <c r="Y30" s="3"/>
    </row>
    <row r="31" spans="1:25" ht="18" customHeight="1" x14ac:dyDescent="0.3">
      <c r="A31" s="85"/>
      <c r="B31" s="434"/>
      <c r="C31" s="539" t="s">
        <v>31</v>
      </c>
      <c r="D31" s="981">
        <v>2.4</v>
      </c>
      <c r="E31" s="501">
        <f t="shared" si="0"/>
        <v>2.4</v>
      </c>
      <c r="F31" s="95">
        <v>2.4</v>
      </c>
      <c r="G31" s="98">
        <f t="shared" si="1"/>
        <v>6</v>
      </c>
      <c r="H31" s="2124"/>
      <c r="I31" s="2126"/>
      <c r="J31" s="434"/>
      <c r="K31" s="434"/>
      <c r="L31" s="434"/>
      <c r="M31" s="434"/>
      <c r="N31" s="434"/>
      <c r="O31" s="983"/>
      <c r="P31" s="983"/>
      <c r="Q31" s="983"/>
      <c r="R31" s="983"/>
      <c r="S31" s="983"/>
      <c r="T31" s="983"/>
      <c r="U31" s="983"/>
      <c r="V31" s="3"/>
      <c r="W31" s="3"/>
      <c r="X31" s="3"/>
      <c r="Y31" s="3"/>
    </row>
    <row r="32" spans="1:25" ht="18" customHeight="1" x14ac:dyDescent="0.3">
      <c r="A32" s="85"/>
      <c r="B32" s="434"/>
      <c r="C32" s="539" t="s">
        <v>32</v>
      </c>
      <c r="D32" s="981">
        <v>2.2999999999999998</v>
      </c>
      <c r="E32" s="501">
        <f t="shared" si="0"/>
        <v>2.2999999999999998</v>
      </c>
      <c r="F32" s="95">
        <v>2.2999999999999998</v>
      </c>
      <c r="G32" s="98">
        <f t="shared" si="1"/>
        <v>5.75</v>
      </c>
      <c r="H32" s="2124"/>
      <c r="I32" s="2126"/>
      <c r="J32" s="434"/>
      <c r="K32" s="434"/>
      <c r="L32" s="434"/>
      <c r="M32" s="434"/>
      <c r="N32" s="434"/>
      <c r="O32" s="983"/>
      <c r="P32" s="983"/>
      <c r="Q32" s="983"/>
      <c r="R32" s="983"/>
      <c r="S32" s="983"/>
      <c r="T32" s="983"/>
      <c r="U32" s="983"/>
      <c r="V32" s="3"/>
      <c r="W32" s="3"/>
      <c r="X32" s="3"/>
      <c r="Y32" s="3"/>
    </row>
    <row r="33" spans="1:25" ht="18" customHeight="1" x14ac:dyDescent="0.3">
      <c r="A33" s="85"/>
      <c r="B33" s="434"/>
      <c r="C33" s="539" t="s">
        <v>33</v>
      </c>
      <c r="D33" s="981">
        <v>0.6</v>
      </c>
      <c r="E33" s="501">
        <f t="shared" si="0"/>
        <v>0.6</v>
      </c>
      <c r="F33" s="95">
        <v>0.6</v>
      </c>
      <c r="G33" s="98">
        <f t="shared" si="1"/>
        <v>1.5</v>
      </c>
      <c r="H33" s="2124"/>
      <c r="I33" s="2126"/>
      <c r="J33" s="434"/>
      <c r="K33" s="434"/>
      <c r="L33" s="434"/>
      <c r="M33" s="434"/>
      <c r="N33" s="434"/>
      <c r="O33" s="983"/>
      <c r="P33" s="983"/>
      <c r="Q33" s="983"/>
      <c r="R33" s="983"/>
      <c r="S33" s="983"/>
      <c r="T33" s="983"/>
      <c r="U33" s="983"/>
      <c r="V33" s="3"/>
      <c r="W33" s="3"/>
      <c r="X33" s="3"/>
      <c r="Y33" s="3"/>
    </row>
    <row r="34" spans="1:25" ht="18" customHeight="1" x14ac:dyDescent="0.3">
      <c r="A34" s="85"/>
      <c r="B34" s="434"/>
      <c r="C34" s="539" t="s">
        <v>34</v>
      </c>
      <c r="D34" s="981">
        <v>4.45</v>
      </c>
      <c r="E34" s="501">
        <f t="shared" si="0"/>
        <v>4.45</v>
      </c>
      <c r="F34" s="95">
        <v>2.6</v>
      </c>
      <c r="G34" s="98">
        <f t="shared" si="1"/>
        <v>11.125</v>
      </c>
      <c r="H34" s="2123">
        <f>SUM(E34:E37)</f>
        <v>10.14</v>
      </c>
      <c r="I34" s="2130" t="s">
        <v>35</v>
      </c>
      <c r="J34" s="434"/>
      <c r="K34" s="434"/>
      <c r="L34" s="434"/>
      <c r="M34" s="434"/>
      <c r="N34" s="434"/>
      <c r="O34" s="983"/>
      <c r="P34" s="983"/>
      <c r="Q34" s="983"/>
      <c r="R34" s="983"/>
      <c r="S34" s="983"/>
      <c r="T34" s="983"/>
      <c r="U34" s="983"/>
      <c r="V34" s="3"/>
      <c r="W34" s="3"/>
      <c r="X34" s="3"/>
      <c r="Y34" s="3"/>
    </row>
    <row r="35" spans="1:25" ht="18" customHeight="1" x14ac:dyDescent="0.3">
      <c r="A35" s="85"/>
      <c r="B35" s="434"/>
      <c r="C35" s="539" t="s">
        <v>36</v>
      </c>
      <c r="D35" s="981">
        <v>0.96</v>
      </c>
      <c r="E35" s="501">
        <f t="shared" si="0"/>
        <v>0.96</v>
      </c>
      <c r="F35" s="95">
        <v>0.7</v>
      </c>
      <c r="G35" s="98">
        <f t="shared" si="1"/>
        <v>2.4</v>
      </c>
      <c r="H35" s="2124"/>
      <c r="I35" s="2126"/>
      <c r="J35" s="434"/>
      <c r="K35" s="434"/>
      <c r="L35" s="434"/>
      <c r="M35" s="548"/>
      <c r="N35" s="434"/>
      <c r="O35" s="983"/>
      <c r="P35" s="983"/>
      <c r="Q35" s="983"/>
      <c r="R35" s="983"/>
      <c r="S35" s="983"/>
      <c r="T35" s="983"/>
      <c r="U35" s="983"/>
      <c r="V35" s="3"/>
      <c r="W35" s="3"/>
      <c r="X35" s="3"/>
      <c r="Y35" s="3"/>
    </row>
    <row r="36" spans="1:25" ht="18" customHeight="1" x14ac:dyDescent="0.3">
      <c r="A36" s="85"/>
      <c r="B36" s="434"/>
      <c r="C36" s="539" t="s">
        <v>37</v>
      </c>
      <c r="D36" s="981">
        <v>4</v>
      </c>
      <c r="E36" s="501">
        <f t="shared" si="0"/>
        <v>4</v>
      </c>
      <c r="F36" s="95">
        <v>4</v>
      </c>
      <c r="G36" s="98">
        <f t="shared" si="1"/>
        <v>10</v>
      </c>
      <c r="H36" s="2124"/>
      <c r="I36" s="2126"/>
      <c r="J36" s="434"/>
      <c r="K36" s="434"/>
      <c r="L36" s="434"/>
      <c r="M36" s="434"/>
      <c r="N36" s="434"/>
      <c r="O36" s="983"/>
      <c r="P36" s="983"/>
      <c r="Q36" s="983"/>
      <c r="R36" s="983"/>
      <c r="S36" s="983"/>
      <c r="T36" s="983"/>
      <c r="U36" s="983"/>
      <c r="V36" s="3"/>
      <c r="W36" s="3"/>
      <c r="X36" s="3"/>
      <c r="Y36" s="3"/>
    </row>
    <row r="37" spans="1:25" ht="18" customHeight="1" x14ac:dyDescent="0.3">
      <c r="A37" s="85"/>
      <c r="B37" s="434"/>
      <c r="C37" s="539" t="s">
        <v>38</v>
      </c>
      <c r="D37" s="981">
        <v>0.73</v>
      </c>
      <c r="E37" s="501">
        <f t="shared" si="0"/>
        <v>0.73</v>
      </c>
      <c r="F37" s="95">
        <v>4.7</v>
      </c>
      <c r="G37" s="98">
        <f t="shared" si="1"/>
        <v>1.825</v>
      </c>
      <c r="H37" s="2124"/>
      <c r="I37" s="2126"/>
      <c r="J37" s="434"/>
      <c r="K37" s="434"/>
      <c r="L37" s="434"/>
      <c r="M37" s="434"/>
      <c r="N37" s="434"/>
      <c r="O37" s="983"/>
      <c r="P37" s="983"/>
      <c r="Q37" s="983"/>
      <c r="R37" s="983"/>
      <c r="S37" s="983"/>
      <c r="T37" s="983"/>
      <c r="U37" s="983"/>
      <c r="V37" s="3"/>
      <c r="W37" s="3"/>
      <c r="X37" s="3"/>
      <c r="Y37" s="3"/>
    </row>
    <row r="38" spans="1:25" ht="18" customHeight="1" x14ac:dyDescent="0.3">
      <c r="A38" s="85"/>
      <c r="B38" s="434"/>
      <c r="C38" s="539" t="s">
        <v>39</v>
      </c>
      <c r="D38" s="981">
        <v>0</v>
      </c>
      <c r="E38" s="501">
        <f t="shared" si="0"/>
        <v>0</v>
      </c>
      <c r="F38" s="95">
        <v>0</v>
      </c>
      <c r="G38" s="98">
        <f t="shared" si="1"/>
        <v>0</v>
      </c>
      <c r="H38" s="2123">
        <f>SUM(E38:E39)</f>
        <v>6.5600000000000023</v>
      </c>
      <c r="I38" s="2130" t="s">
        <v>40</v>
      </c>
      <c r="J38" s="434"/>
      <c r="K38" s="434"/>
      <c r="L38" s="434"/>
      <c r="M38" s="434"/>
      <c r="N38" s="434"/>
      <c r="O38" s="983"/>
      <c r="P38" s="983"/>
      <c r="Q38" s="983"/>
      <c r="R38" s="983"/>
      <c r="S38" s="983"/>
      <c r="T38" s="983"/>
      <c r="U38" s="983"/>
      <c r="V38" s="3"/>
      <c r="W38" s="3"/>
      <c r="X38" s="3"/>
      <c r="Y38" s="3"/>
    </row>
    <row r="39" spans="1:25" ht="18" customHeight="1" x14ac:dyDescent="0.3">
      <c r="A39" s="85"/>
      <c r="B39" s="434"/>
      <c r="C39" s="539" t="s">
        <v>41</v>
      </c>
      <c r="D39" s="981">
        <f>100-(SUM(D26:D38))</f>
        <v>6.5600000000000023</v>
      </c>
      <c r="E39" s="501">
        <f t="shared" si="0"/>
        <v>6.5600000000000023</v>
      </c>
      <c r="F39" s="95">
        <v>4.7</v>
      </c>
      <c r="G39" s="98">
        <f t="shared" si="1"/>
        <v>16.400000000000006</v>
      </c>
      <c r="H39" s="2124"/>
      <c r="I39" s="2126"/>
      <c r="J39" s="434"/>
      <c r="K39" s="434"/>
      <c r="L39" s="434"/>
      <c r="M39" s="434"/>
      <c r="N39" s="434"/>
      <c r="O39" s="983"/>
      <c r="P39" s="983"/>
      <c r="Q39" s="983"/>
      <c r="R39" s="983"/>
      <c r="S39" s="983"/>
      <c r="T39" s="983"/>
      <c r="U39" s="983"/>
      <c r="V39" s="3"/>
      <c r="W39" s="3"/>
      <c r="X39" s="3"/>
      <c r="Y39" s="3"/>
    </row>
    <row r="40" spans="1:25" ht="17.7" customHeight="1" x14ac:dyDescent="0.3">
      <c r="A40" s="85"/>
      <c r="B40" s="434"/>
      <c r="C40" s="540" t="s">
        <v>42</v>
      </c>
      <c r="D40" s="96">
        <f>SUM(D26:D39)</f>
        <v>100</v>
      </c>
      <c r="E40" s="96">
        <f>SUM(E26:E39)</f>
        <v>100</v>
      </c>
      <c r="F40" s="96">
        <f>SUM(F26:F39)</f>
        <v>100</v>
      </c>
      <c r="G40" s="97">
        <f>SUM(G26:G39)</f>
        <v>250</v>
      </c>
      <c r="H40" s="99">
        <f>SUM(H26:H39)</f>
        <v>100</v>
      </c>
      <c r="I40" s="92"/>
      <c r="J40" s="434"/>
      <c r="K40" s="434"/>
      <c r="L40" s="434"/>
      <c r="M40" s="434"/>
      <c r="N40" s="434"/>
      <c r="O40" s="983"/>
      <c r="P40" s="983"/>
      <c r="Q40" s="983"/>
      <c r="R40" s="983"/>
      <c r="S40" s="983"/>
      <c r="T40" s="983"/>
      <c r="U40" s="983"/>
      <c r="V40" s="3"/>
      <c r="W40" s="3"/>
      <c r="X40" s="3"/>
      <c r="Y40" s="3"/>
    </row>
    <row r="41" spans="1:25" ht="25.2" customHeight="1" x14ac:dyDescent="0.3">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5" customHeight="1" x14ac:dyDescent="0.3">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3">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95" customHeight="1" x14ac:dyDescent="0.3">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95" customHeight="1" x14ac:dyDescent="0.3">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95" customHeight="1" x14ac:dyDescent="0.3">
      <c r="A46" s="85"/>
      <c r="B46" s="434"/>
      <c r="C46" s="233" t="s">
        <v>47</v>
      </c>
      <c r="D46" s="501">
        <f>100-(D44+D45)</f>
        <v>100</v>
      </c>
      <c r="E46" s="551">
        <f>E14*D46/100</f>
        <v>250</v>
      </c>
      <c r="F46" s="434"/>
      <c r="G46" s="434"/>
      <c r="H46" s="434"/>
      <c r="I46" s="434"/>
      <c r="J46" s="434"/>
      <c r="K46" s="434"/>
      <c r="L46" s="532"/>
      <c r="M46" s="434"/>
      <c r="N46" s="434"/>
      <c r="O46" s="983"/>
      <c r="P46" s="983"/>
      <c r="Q46" s="983"/>
      <c r="R46" s="983"/>
      <c r="S46" s="983"/>
      <c r="T46" s="983"/>
      <c r="U46" s="983"/>
      <c r="V46" s="3"/>
      <c r="W46" s="3"/>
      <c r="X46" s="3"/>
      <c r="Y46" s="3"/>
    </row>
    <row r="47" spans="1:25" ht="16.95" customHeight="1" x14ac:dyDescent="0.3">
      <c r="A47" s="85"/>
      <c r="B47" s="434"/>
      <c r="C47" s="233" t="s">
        <v>506</v>
      </c>
      <c r="D47" s="94">
        <f>SUM(D44:D46)</f>
        <v>100</v>
      </c>
      <c r="E47" s="551">
        <f>SUM(E44:E46)</f>
        <v>250</v>
      </c>
      <c r="F47" s="434"/>
      <c r="G47" s="434"/>
      <c r="H47" s="434"/>
      <c r="I47" s="434"/>
      <c r="J47" s="434"/>
      <c r="K47" s="434"/>
      <c r="L47" s="532"/>
      <c r="M47" s="434"/>
      <c r="N47" s="434"/>
      <c r="O47" s="983"/>
      <c r="P47" s="983"/>
      <c r="Q47" s="983"/>
      <c r="R47" s="983"/>
      <c r="S47" s="983"/>
      <c r="T47" s="983"/>
      <c r="U47" s="983"/>
      <c r="V47" s="3"/>
      <c r="W47" s="3"/>
      <c r="X47" s="3"/>
      <c r="Y47" s="3"/>
    </row>
    <row r="48" spans="1:25" ht="25.2" customHeight="1" x14ac:dyDescent="0.3">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2" customHeight="1" x14ac:dyDescent="0.3">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3">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3">
      <c r="A51" s="85"/>
      <c r="B51" s="434"/>
      <c r="C51" s="2117" t="s">
        <v>48</v>
      </c>
      <c r="D51" s="2113" t="s">
        <v>508</v>
      </c>
      <c r="E51" s="2114"/>
      <c r="F51" s="2114"/>
      <c r="G51" s="2114"/>
      <c r="H51" s="2114"/>
      <c r="I51" s="2114"/>
      <c r="J51" s="2114"/>
      <c r="K51" s="2114"/>
      <c r="L51" s="2114"/>
      <c r="M51" s="2114"/>
      <c r="N51" s="2114"/>
      <c r="O51" s="983"/>
      <c r="P51" s="983"/>
      <c r="Q51" s="983"/>
      <c r="R51" s="983"/>
      <c r="S51" s="983"/>
      <c r="T51" s="983"/>
      <c r="U51" s="983"/>
      <c r="V51" s="3"/>
      <c r="W51" s="3"/>
      <c r="X51" s="3"/>
      <c r="Y51" s="3"/>
    </row>
    <row r="52" spans="1:25" ht="18" customHeight="1" x14ac:dyDescent="0.3">
      <c r="A52" s="85"/>
      <c r="B52" s="434"/>
      <c r="C52" s="2118"/>
      <c r="D52" s="2111" t="s">
        <v>25</v>
      </c>
      <c r="E52" s="2118"/>
      <c r="F52" s="2119" t="s">
        <v>49</v>
      </c>
      <c r="G52" s="2111" t="s">
        <v>475</v>
      </c>
      <c r="H52" s="2118"/>
      <c r="I52" s="2111" t="s">
        <v>476</v>
      </c>
      <c r="J52" s="2111" t="s">
        <v>52</v>
      </c>
      <c r="K52" s="2118"/>
      <c r="L52" s="2111" t="s">
        <v>477</v>
      </c>
      <c r="M52" s="2112"/>
      <c r="N52" s="2129" t="s">
        <v>53</v>
      </c>
      <c r="O52" s="983"/>
      <c r="P52" s="983"/>
      <c r="Q52" s="983"/>
      <c r="R52" s="983"/>
      <c r="S52" s="983"/>
      <c r="T52" s="983"/>
      <c r="U52" s="983"/>
      <c r="V52" s="3"/>
      <c r="W52" s="3"/>
      <c r="X52" s="3"/>
      <c r="Y52" s="3"/>
    </row>
    <row r="53" spans="1:25" ht="31.2" customHeight="1" x14ac:dyDescent="0.3">
      <c r="A53" s="85"/>
      <c r="B53" s="434"/>
      <c r="C53" s="2118"/>
      <c r="D53" s="499" t="s">
        <v>54</v>
      </c>
      <c r="E53" s="499" t="s">
        <v>55</v>
      </c>
      <c r="F53" s="2118"/>
      <c r="G53" s="499" t="s">
        <v>56</v>
      </c>
      <c r="H53" s="499" t="s">
        <v>57</v>
      </c>
      <c r="I53" s="2118"/>
      <c r="J53" s="499" t="s">
        <v>58</v>
      </c>
      <c r="K53" s="499" t="s">
        <v>510</v>
      </c>
      <c r="L53" s="499" t="s">
        <v>478</v>
      </c>
      <c r="M53" s="500" t="s">
        <v>509</v>
      </c>
      <c r="N53" s="2118"/>
      <c r="O53" s="983"/>
      <c r="P53" s="983"/>
      <c r="Q53" s="983"/>
      <c r="R53" s="983"/>
      <c r="S53" s="983"/>
      <c r="T53" s="983"/>
      <c r="U53" s="983"/>
      <c r="V53" s="3"/>
      <c r="W53" s="3"/>
      <c r="X53" s="3"/>
      <c r="Y53" s="3"/>
    </row>
    <row r="54" spans="1:25" ht="18" customHeight="1" x14ac:dyDescent="0.3">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3">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3">
      <c r="A56" s="85"/>
      <c r="B56" s="434"/>
      <c r="C56" s="233" t="s">
        <v>474</v>
      </c>
      <c r="D56" s="104">
        <f>G26-D55</f>
        <v>121</v>
      </c>
      <c r="E56" s="104">
        <f>G27-E55</f>
        <v>7.5</v>
      </c>
      <c r="F56" s="104">
        <f>G28-F54</f>
        <v>32.75</v>
      </c>
      <c r="G56" s="104">
        <f>G29-G54</f>
        <v>22.25</v>
      </c>
      <c r="H56" s="104">
        <f>G30-H54</f>
        <v>11.5</v>
      </c>
      <c r="I56" s="104">
        <f>G31-I54</f>
        <v>6</v>
      </c>
      <c r="J56" s="104">
        <f>G32-J54</f>
        <v>5.75</v>
      </c>
      <c r="K56" s="104">
        <f>G33-K54</f>
        <v>1.5</v>
      </c>
      <c r="L56" s="104">
        <f>SUM(G34:G37)</f>
        <v>25.349999999999998</v>
      </c>
      <c r="M56" s="104">
        <f>SUM(G38:G39)</f>
        <v>16.400000000000006</v>
      </c>
      <c r="N56" s="104">
        <f>SUM(D56:M56)</f>
        <v>250</v>
      </c>
      <c r="O56" s="983"/>
      <c r="P56" s="983"/>
      <c r="Q56" s="983"/>
      <c r="R56" s="983"/>
      <c r="S56" s="983"/>
      <c r="T56" s="983"/>
      <c r="U56" s="983"/>
      <c r="V56" s="3"/>
      <c r="W56" s="3"/>
      <c r="X56" s="3"/>
      <c r="Y56" s="3"/>
    </row>
    <row r="57" spans="1:25" ht="18" customHeight="1" x14ac:dyDescent="0.3">
      <c r="A57" s="85"/>
      <c r="B57" s="434"/>
      <c r="C57" s="233" t="s">
        <v>53</v>
      </c>
      <c r="D57" s="104">
        <f>SUM(D55:D56)</f>
        <v>121</v>
      </c>
      <c r="E57" s="104">
        <f>SUM(E55:E56)</f>
        <v>7.5</v>
      </c>
      <c r="F57" s="104">
        <f t="shared" ref="F57:L57" si="2">SUM(F54:F56)</f>
        <v>32.75</v>
      </c>
      <c r="G57" s="104">
        <f t="shared" si="2"/>
        <v>22.25</v>
      </c>
      <c r="H57" s="104">
        <f t="shared" si="2"/>
        <v>11.5</v>
      </c>
      <c r="I57" s="104">
        <f t="shared" si="2"/>
        <v>6</v>
      </c>
      <c r="J57" s="104">
        <f t="shared" si="2"/>
        <v>5.75</v>
      </c>
      <c r="K57" s="104">
        <f t="shared" si="2"/>
        <v>1.5</v>
      </c>
      <c r="L57" s="104">
        <f t="shared" si="2"/>
        <v>25.349999999999998</v>
      </c>
      <c r="M57" s="104">
        <f>M56</f>
        <v>16.400000000000006</v>
      </c>
      <c r="N57" s="104">
        <f>SUM(N54:N56)</f>
        <v>250</v>
      </c>
      <c r="O57" s="983"/>
      <c r="P57" s="983"/>
      <c r="Q57" s="983"/>
      <c r="R57" s="983"/>
      <c r="S57" s="983"/>
      <c r="T57" s="983"/>
      <c r="U57" s="983"/>
      <c r="V57" s="3"/>
      <c r="W57" s="3"/>
      <c r="X57" s="3"/>
      <c r="Y57" s="3"/>
    </row>
    <row r="58" spans="1:25" ht="12.75" customHeight="1" x14ac:dyDescent="0.3">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3">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3">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3">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3">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3">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3">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3">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3">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3">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3">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3">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3">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3">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3">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3">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3">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3">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3">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3">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3">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3">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3">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3">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3">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3">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3">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3">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3">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3">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3">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3">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3">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3">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3">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3">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3">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3">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3">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3">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3">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3">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3">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3">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3">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3">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3">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3">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3">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3">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3">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3">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3">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3">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3">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3">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3">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3">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3">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3">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3">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3">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3">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3">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3">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61" sqref="J61"/>
    </sheetView>
  </sheetViews>
  <sheetFormatPr defaultColWidth="14.44140625" defaultRowHeight="15" customHeight="1" x14ac:dyDescent="0.3"/>
  <cols>
    <col min="1" max="1" width="0.6640625" customWidth="1"/>
    <col min="2" max="2" width="2.88671875" style="84" customWidth="1"/>
    <col min="3" max="3" width="26.88671875" style="84" customWidth="1"/>
    <col min="4" max="4" width="15.44140625" style="84" customWidth="1"/>
    <col min="5" max="5" width="14.44140625" style="84" customWidth="1"/>
    <col min="6" max="8" width="13.44140625" style="84" customWidth="1"/>
    <col min="9" max="9" width="15.6640625" style="84" customWidth="1"/>
    <col min="10" max="10" width="14.44140625" style="84" customWidth="1"/>
    <col min="11" max="11" width="20.6640625" style="84" customWidth="1"/>
    <col min="12" max="12" width="14.44140625" style="84" customWidth="1"/>
    <col min="13" max="13" width="15.44140625" style="84" customWidth="1"/>
    <col min="14" max="14" width="16.6640625" style="84" customWidth="1"/>
    <col min="15" max="15" width="15.44140625" style="84" customWidth="1"/>
    <col min="16" max="16" width="3.44140625" style="84" customWidth="1"/>
    <col min="17" max="17" width="13.6640625" customWidth="1"/>
    <col min="18" max="18" width="11.44140625" customWidth="1"/>
    <col min="19" max="19" width="14.33203125" customWidth="1"/>
    <col min="20" max="21" width="11.44140625" customWidth="1"/>
    <col min="22" max="22" width="8.6640625" customWidth="1"/>
    <col min="23" max="23" width="9.44140625" customWidth="1"/>
    <col min="24" max="24" width="6.6640625" customWidth="1"/>
    <col min="25" max="25" width="13" customWidth="1"/>
    <col min="26" max="28" width="15" customWidth="1"/>
    <col min="29" max="29" width="15.6640625" customWidth="1"/>
    <col min="30" max="30" width="15" customWidth="1"/>
    <col min="31" max="31" width="9.44140625" customWidth="1"/>
    <col min="32" max="35" width="8.6640625" customWidth="1"/>
  </cols>
  <sheetData>
    <row r="1" spans="1:35" ht="18" customHeight="1" x14ac:dyDescent="0.3">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3">
      <c r="A2" s="570"/>
      <c r="B2" s="434"/>
      <c r="C2" s="531" t="s">
        <v>485</v>
      </c>
      <c r="D2" s="2154" t="str">
        <f>IF('R-Entrada'!D2&lt;&gt;0,'R-Entrada'!D2,"")</f>
        <v>CIRSOP - Consórcio RSU Oeste Paulista</v>
      </c>
      <c r="E2" s="2155"/>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3">
      <c r="A3" s="570"/>
      <c r="B3" s="434"/>
      <c r="C3" s="531" t="s">
        <v>486</v>
      </c>
      <c r="D3" s="2154" t="str">
        <f>IF('R-Entrada'!D3&lt;&gt;0,'R-Entrada'!D3,"")</f>
        <v>Biodigestão c/ Prod. E. Elétrica</v>
      </c>
      <c r="E3" s="2155"/>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3">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3">
      <c r="A5" s="570"/>
      <c r="B5" s="434"/>
      <c r="C5" s="434"/>
      <c r="D5" s="434"/>
      <c r="E5" s="434"/>
      <c r="F5" s="2134" t="s">
        <v>737</v>
      </c>
      <c r="G5" s="2143"/>
      <c r="H5" s="2144"/>
      <c r="I5" s="434"/>
      <c r="J5" s="132"/>
      <c r="K5" s="584" t="s">
        <v>725</v>
      </c>
      <c r="L5" s="434"/>
      <c r="M5" s="434"/>
      <c r="N5" s="2120" t="s">
        <v>473</v>
      </c>
      <c r="O5" s="2152"/>
      <c r="P5" s="2152"/>
      <c r="Q5" s="544"/>
      <c r="R5" s="544"/>
      <c r="S5" s="544"/>
      <c r="T5" s="544"/>
      <c r="U5" s="544"/>
      <c r="V5" s="544"/>
      <c r="W5" s="544"/>
      <c r="X5" s="544"/>
      <c r="Y5" s="544"/>
      <c r="Z5" s="544"/>
      <c r="AA5" s="3"/>
      <c r="AB5" s="3"/>
      <c r="AC5" s="3"/>
      <c r="AD5" s="3"/>
      <c r="AE5" s="3"/>
      <c r="AF5" s="3"/>
      <c r="AG5" s="3"/>
      <c r="AH5" s="3"/>
      <c r="AI5" s="3"/>
    </row>
    <row r="6" spans="1:35" ht="18" customHeight="1" x14ac:dyDescent="0.3">
      <c r="A6" s="570"/>
      <c r="B6" s="434"/>
      <c r="C6" s="532"/>
      <c r="D6" s="532"/>
      <c r="E6" s="532"/>
      <c r="F6" s="2145"/>
      <c r="G6" s="2146"/>
      <c r="H6" s="2147"/>
      <c r="I6" s="532"/>
      <c r="J6" s="700"/>
      <c r="K6" s="584" t="s">
        <v>726</v>
      </c>
      <c r="L6" s="434"/>
      <c r="M6" s="434"/>
      <c r="N6" s="2122" t="str">
        <f>Apresentação!I2</f>
        <v>RC-RSU V.1.0 - 15/10/2020</v>
      </c>
      <c r="O6" s="2122"/>
      <c r="P6" s="2122"/>
      <c r="Q6" s="544"/>
      <c r="R6" s="544"/>
      <c r="S6" s="544"/>
      <c r="T6" s="544"/>
      <c r="U6" s="544"/>
      <c r="V6" s="544"/>
      <c r="W6" s="544"/>
      <c r="X6" s="544"/>
      <c r="Y6" s="544"/>
      <c r="Z6" s="544"/>
      <c r="AA6" s="3"/>
      <c r="AB6" s="3"/>
      <c r="AC6" s="3"/>
      <c r="AD6" s="3"/>
      <c r="AE6" s="3"/>
      <c r="AF6" s="3"/>
      <c r="AG6" s="3"/>
      <c r="AH6" s="3"/>
      <c r="AI6" s="3"/>
    </row>
    <row r="7" spans="1:35" ht="18" customHeight="1" x14ac:dyDescent="0.3">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3">
      <c r="A8" s="571"/>
      <c r="B8" s="2153" t="s">
        <v>511</v>
      </c>
      <c r="C8" s="2153"/>
      <c r="D8" s="2153"/>
      <c r="E8" s="2153"/>
      <c r="F8" s="2153"/>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3">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5" customHeight="1" x14ac:dyDescent="0.3">
      <c r="A10" s="570"/>
      <c r="B10" s="434"/>
      <c r="C10" s="2115" t="s">
        <v>48</v>
      </c>
      <c r="D10" s="2142" t="s">
        <v>508</v>
      </c>
      <c r="E10" s="2116"/>
      <c r="F10" s="2116"/>
      <c r="G10" s="2116"/>
      <c r="H10" s="2116"/>
      <c r="I10" s="2116"/>
      <c r="J10" s="2116"/>
      <c r="K10" s="2116"/>
      <c r="L10" s="2116"/>
      <c r="M10" s="2116"/>
      <c r="N10" s="2116"/>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3">
      <c r="A11" s="570"/>
      <c r="B11" s="434"/>
      <c r="C11" s="2116"/>
      <c r="D11" s="2142" t="s">
        <v>25</v>
      </c>
      <c r="E11" s="2116"/>
      <c r="F11" s="2115" t="s">
        <v>49</v>
      </c>
      <c r="G11" s="2142" t="s">
        <v>475</v>
      </c>
      <c r="H11" s="2116"/>
      <c r="I11" s="2142" t="s">
        <v>476</v>
      </c>
      <c r="J11" s="2142" t="s">
        <v>52</v>
      </c>
      <c r="K11" s="2116"/>
      <c r="L11" s="2142" t="s">
        <v>477</v>
      </c>
      <c r="M11" s="2116"/>
      <c r="N11" s="2170" t="s">
        <v>53</v>
      </c>
      <c r="O11" s="434"/>
      <c r="P11" s="434"/>
      <c r="Q11" s="544"/>
      <c r="R11" s="544"/>
      <c r="S11" s="544"/>
      <c r="T11" s="544"/>
      <c r="U11" s="544"/>
      <c r="V11" s="544"/>
      <c r="W11" s="544"/>
      <c r="X11" s="544"/>
      <c r="Y11" s="544"/>
      <c r="Z11" s="544"/>
      <c r="AA11" s="3"/>
      <c r="AB11" s="3"/>
      <c r="AC11" s="3"/>
      <c r="AD11" s="3"/>
      <c r="AE11" s="3"/>
      <c r="AF11" s="3"/>
      <c r="AG11" s="3"/>
      <c r="AH11" s="3"/>
      <c r="AI11" s="3"/>
    </row>
    <row r="12" spans="1:35" ht="31.2" customHeight="1" x14ac:dyDescent="0.3">
      <c r="A12" s="570"/>
      <c r="B12" s="434"/>
      <c r="C12" s="2116"/>
      <c r="D12" s="503" t="s">
        <v>54</v>
      </c>
      <c r="E12" s="503" t="s">
        <v>55</v>
      </c>
      <c r="F12" s="2116"/>
      <c r="G12" s="503" t="s">
        <v>56</v>
      </c>
      <c r="H12" s="503" t="s">
        <v>57</v>
      </c>
      <c r="I12" s="2116"/>
      <c r="J12" s="503" t="s">
        <v>58</v>
      </c>
      <c r="K12" s="503" t="s">
        <v>510</v>
      </c>
      <c r="L12" s="503" t="s">
        <v>478</v>
      </c>
      <c r="M12" s="497" t="s">
        <v>509</v>
      </c>
      <c r="N12" s="2116"/>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3">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3">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3">
      <c r="A15" s="572"/>
      <c r="B15" s="529"/>
      <c r="C15" s="507" t="s">
        <v>474</v>
      </c>
      <c r="D15" s="122">
        <f>'R-Entrada'!D56</f>
        <v>121</v>
      </c>
      <c r="E15" s="122">
        <f>'R-Entrada'!E56</f>
        <v>7.5</v>
      </c>
      <c r="F15" s="122">
        <f>'R-Entrada'!F56</f>
        <v>32.75</v>
      </c>
      <c r="G15" s="122">
        <f>'R-Entrada'!G56</f>
        <v>22.25</v>
      </c>
      <c r="H15" s="122">
        <f>'R-Entrada'!H56</f>
        <v>11.5</v>
      </c>
      <c r="I15" s="122">
        <f>'R-Entrada'!I56</f>
        <v>6</v>
      </c>
      <c r="J15" s="122">
        <f>'R-Entrada'!J56</f>
        <v>5.75</v>
      </c>
      <c r="K15" s="122">
        <f>'R-Entrada'!K56</f>
        <v>1.5</v>
      </c>
      <c r="L15" s="122">
        <f>'R-Entrada'!L56</f>
        <v>25.349999999999998</v>
      </c>
      <c r="M15" s="122">
        <f>'R-Entrada'!M56</f>
        <v>16.400000000000006</v>
      </c>
      <c r="N15" s="98">
        <f>SUM(D15:M15)</f>
        <v>250</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3">
      <c r="A16" s="572"/>
      <c r="B16" s="529"/>
      <c r="C16" s="252" t="s">
        <v>53</v>
      </c>
      <c r="D16" s="154">
        <f>SUM(D14:D15)</f>
        <v>121</v>
      </c>
      <c r="E16" s="154">
        <f>SUM(E14:E15)</f>
        <v>7.5</v>
      </c>
      <c r="F16" s="154">
        <f t="shared" ref="F16:L16" si="0">SUM(F13:F15)</f>
        <v>32.75</v>
      </c>
      <c r="G16" s="154">
        <f t="shared" si="0"/>
        <v>22.25</v>
      </c>
      <c r="H16" s="154">
        <f t="shared" si="0"/>
        <v>11.5</v>
      </c>
      <c r="I16" s="154">
        <f t="shared" si="0"/>
        <v>6</v>
      </c>
      <c r="J16" s="154">
        <f t="shared" si="0"/>
        <v>5.75</v>
      </c>
      <c r="K16" s="154">
        <f t="shared" si="0"/>
        <v>1.5</v>
      </c>
      <c r="L16" s="154">
        <f t="shared" si="0"/>
        <v>25.349999999999998</v>
      </c>
      <c r="M16" s="154">
        <f>M15</f>
        <v>16.400000000000006</v>
      </c>
      <c r="N16" s="98">
        <f>SUM(N13:N15)</f>
        <v>250</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3">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3">
      <c r="A18" s="572"/>
      <c r="B18" s="529"/>
      <c r="C18" s="529"/>
      <c r="D18" s="529"/>
      <c r="E18" s="529"/>
      <c r="F18" s="529"/>
      <c r="G18" s="529"/>
      <c r="H18" s="563" t="s">
        <v>67</v>
      </c>
      <c r="I18" s="157">
        <f>IF(N15=0,0,SUM(F15:K15)/N15*100)</f>
        <v>31.900000000000002</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5" customHeight="1" x14ac:dyDescent="0.3">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3">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45" customHeight="1" x14ac:dyDescent="0.3">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45" customHeight="1" x14ac:dyDescent="0.3">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2" customHeight="1" x14ac:dyDescent="0.3">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3">
      <c r="A24" s="572"/>
      <c r="B24" s="530"/>
      <c r="C24" s="633"/>
      <c r="D24" s="565" t="s">
        <v>72</v>
      </c>
      <c r="E24" s="98">
        <f>N13</f>
        <v>0</v>
      </c>
      <c r="F24" s="591"/>
      <c r="G24" s="640"/>
      <c r="H24" s="593" t="s">
        <v>88</v>
      </c>
      <c r="I24" s="963" t="s">
        <v>6</v>
      </c>
      <c r="J24" s="591"/>
      <c r="K24" s="625" t="s">
        <v>74</v>
      </c>
      <c r="L24" s="114">
        <f t="shared" ref="L24:L29" si="1">SUM(M24:O24)</f>
        <v>8.1875</v>
      </c>
      <c r="M24" s="115">
        <f>IF($E$28="Sim",F$13*'R-Avançado'!$H$11/100*$E$29/$N$13,0)</f>
        <v>0</v>
      </c>
      <c r="N24" s="115">
        <f>IF($E$32="Sim",F$13*'R-Avançado'!$G$11/100*$E$33/$N$13,0)</f>
        <v>0</v>
      </c>
      <c r="O24" s="628">
        <f>IF(AND($I$25&gt;0,$I$24="Sim"),$I$27/$N$15*F$15*'R-Avançado'!$F$11/100,0)</f>
        <v>8.1875</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3">
      <c r="A25" s="572"/>
      <c r="B25" s="530"/>
      <c r="C25" s="633"/>
      <c r="D25" s="565" t="s">
        <v>75</v>
      </c>
      <c r="E25" s="732">
        <v>0</v>
      </c>
      <c r="F25" s="591"/>
      <c r="G25" s="640"/>
      <c r="H25" s="594" t="s">
        <v>72</v>
      </c>
      <c r="I25" s="957">
        <f>IF(I24="Sim",N15,0)</f>
        <v>250</v>
      </c>
      <c r="J25" s="591"/>
      <c r="K25" s="625" t="s">
        <v>29</v>
      </c>
      <c r="L25" s="114">
        <f t="shared" si="1"/>
        <v>5.5625</v>
      </c>
      <c r="M25" s="115">
        <f>IF($E$28="Sim",G$13*'R-Avançado'!$H$11/100*$E$29/$N$13,0)</f>
        <v>0</v>
      </c>
      <c r="N25" s="115">
        <f>IF($E$32="Sim",G$13*'R-Avançado'!$G$11/100*$E$33/$N$13,0)</f>
        <v>0</v>
      </c>
      <c r="O25" s="628">
        <f>IF(AND($I$25&gt;0,$I$24="Sim"),$I$27/$N$15*G$15*'R-Avançado'!$F$11/100,0)</f>
        <v>5.5625</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3">
      <c r="A26" s="570"/>
      <c r="B26" s="530"/>
      <c r="C26" s="633"/>
      <c r="D26" s="565" t="s">
        <v>76</v>
      </c>
      <c r="E26" s="560">
        <f>IF(N13&lt;&gt;0,100-E25,0)</f>
        <v>0</v>
      </c>
      <c r="F26" s="530"/>
      <c r="G26" s="640"/>
      <c r="H26" s="594" t="s">
        <v>77</v>
      </c>
      <c r="I26" s="958">
        <v>100</v>
      </c>
      <c r="J26" s="2149" t="str">
        <f>IF(AND(I24="Sim",I27&lt;&gt;0,I27&lt;50),"Mín. é 50 t/d. Rever Célula I26","")</f>
        <v/>
      </c>
      <c r="K26" s="625" t="s">
        <v>78</v>
      </c>
      <c r="L26" s="114">
        <f t="shared" si="1"/>
        <v>2.875</v>
      </c>
      <c r="M26" s="115">
        <f>IF($E$28="Sim",H$13*'R-Avançado'!$H$11/100*$E$29/$N$13,0)</f>
        <v>0</v>
      </c>
      <c r="N26" s="115">
        <f>IF($E$32="Sim",H$13*'R-Avançado'!$G$11/100*$E$33/$N$13,0)</f>
        <v>0</v>
      </c>
      <c r="O26" s="628">
        <f>IF(AND($I$25&gt;0,$I$24="Sim"),$I$27/$N$15*H$15*'R-Avançado'!$F$11/100,0)</f>
        <v>2.875</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3">
      <c r="A27" s="570"/>
      <c r="B27" s="530"/>
      <c r="C27" s="598"/>
      <c r="D27" s="599"/>
      <c r="E27" s="639"/>
      <c r="F27" s="530"/>
      <c r="G27" s="640"/>
      <c r="H27" s="594" t="s">
        <v>79</v>
      </c>
      <c r="I27" s="957">
        <f>I25*I26/100</f>
        <v>250</v>
      </c>
      <c r="J27" s="2150"/>
      <c r="K27" s="625" t="s">
        <v>31</v>
      </c>
      <c r="L27" s="114">
        <f t="shared" si="1"/>
        <v>1.5</v>
      </c>
      <c r="M27" s="115">
        <f>IF($E$28="Sim",I$13*'R-Avançado'!$H$11/100*$E$29/$N$13,0)</f>
        <v>0</v>
      </c>
      <c r="N27" s="115">
        <f>IF($E$32="Sim",I$13*'R-Avançado'!$G$11/100*$E$33/$N$13,0)</f>
        <v>0</v>
      </c>
      <c r="O27" s="628">
        <f>IF(AND($I$25&gt;0,$I$24="Sim"),$I$27/$N$15*I$15*'R-Avançado'!$F$11/100,0)</f>
        <v>1.5</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3">
      <c r="A28" s="570"/>
      <c r="B28" s="529"/>
      <c r="C28" s="631"/>
      <c r="D28" s="593" t="s">
        <v>92</v>
      </c>
      <c r="E28" s="635" t="str">
        <f>IF(AND(E24&gt;0,E25&gt;0),"Sim","Não")</f>
        <v>Não</v>
      </c>
      <c r="F28" s="2149" t="str">
        <f>IF(E29&gt;100,"Máx. é 100 t/d. Rever Célula E25","")</f>
        <v/>
      </c>
      <c r="G28" s="640"/>
      <c r="H28" s="594" t="s">
        <v>81</v>
      </c>
      <c r="I28" s="959" t="s">
        <v>62</v>
      </c>
      <c r="J28" s="530"/>
      <c r="K28" s="625" t="s">
        <v>32</v>
      </c>
      <c r="L28" s="114">
        <f t="shared" si="1"/>
        <v>1.4375</v>
      </c>
      <c r="M28" s="115">
        <f>IF($E$28="Sim",J$13*'R-Avançado'!$H$11/100*$E$29/$N$13,0)</f>
        <v>0</v>
      </c>
      <c r="N28" s="115">
        <f>IF($E$32="Sim",J$13*'R-Avançado'!$G$11/100*$E$33/$N$13,0)</f>
        <v>0</v>
      </c>
      <c r="O28" s="628">
        <f>IF(AND($I$25&gt;0,$I$24="Sim"),$I$27/$N$15*J$15*'R-Avançado'!$F$11/100,0)</f>
        <v>1.4375</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3">
      <c r="A29" s="570"/>
      <c r="B29" s="529"/>
      <c r="C29" s="632"/>
      <c r="D29" s="600" t="s">
        <v>82</v>
      </c>
      <c r="E29" s="98">
        <f>E24*E25/100</f>
        <v>0</v>
      </c>
      <c r="F29" s="2150"/>
      <c r="G29" s="640"/>
      <c r="H29" s="594" t="s">
        <v>83</v>
      </c>
      <c r="I29" s="959" t="s">
        <v>61</v>
      </c>
      <c r="J29" s="530"/>
      <c r="K29" s="625" t="s">
        <v>84</v>
      </c>
      <c r="L29" s="114">
        <f t="shared" si="1"/>
        <v>0.375</v>
      </c>
      <c r="M29" s="115">
        <f>IF($E$28="Sim",K$13*'R-Avançado'!$H$11/100*$E$29/$N$13,0)</f>
        <v>0</v>
      </c>
      <c r="N29" s="115">
        <f>IF($E$32="Sim",K$13*'R-Avançado'!$G$11/100*$E$33/$N$13,0)</f>
        <v>0</v>
      </c>
      <c r="O29" s="628">
        <f>IF(AND($I$25&gt;0,$I$24="Sim"),$I$27/$N$15*K$15*'R-Avançado'!$F$11/100,0)</f>
        <v>0.375</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3">
      <c r="A30" s="570"/>
      <c r="B30" s="529"/>
      <c r="C30" s="633"/>
      <c r="D30" s="600" t="s">
        <v>81</v>
      </c>
      <c r="E30" s="970" t="s">
        <v>64</v>
      </c>
      <c r="F30" s="2150"/>
      <c r="G30" s="434"/>
      <c r="H30" s="434"/>
      <c r="I30" s="434"/>
      <c r="J30" s="602"/>
      <c r="K30" s="626" t="s">
        <v>513</v>
      </c>
      <c r="L30" s="116">
        <f>SUM(L24:L29)</f>
        <v>19.9375</v>
      </c>
      <c r="M30" s="199">
        <f>SUM(M24:M29)</f>
        <v>0</v>
      </c>
      <c r="N30" s="199">
        <f>SUM(N24:N29)</f>
        <v>0</v>
      </c>
      <c r="O30" s="629">
        <f>SUM(O24:O29)</f>
        <v>19.9375</v>
      </c>
      <c r="P30" s="434"/>
      <c r="Q30" s="544"/>
      <c r="R30" s="544"/>
      <c r="S30" s="544"/>
      <c r="T30" s="544"/>
      <c r="U30" s="544"/>
      <c r="V30" s="544"/>
      <c r="W30" s="544"/>
      <c r="X30" s="544"/>
      <c r="Y30" s="544"/>
      <c r="Z30" s="544"/>
      <c r="AA30" s="3"/>
      <c r="AB30" s="3"/>
      <c r="AC30" s="3"/>
      <c r="AD30" s="3"/>
      <c r="AE30" s="3"/>
      <c r="AF30" s="3"/>
      <c r="AG30" s="3"/>
      <c r="AH30" s="3"/>
      <c r="AI30" s="3"/>
    </row>
    <row r="31" spans="1:35" ht="17.7" customHeight="1" x14ac:dyDescent="0.3">
      <c r="A31" s="570"/>
      <c r="B31" s="85"/>
      <c r="C31" s="564"/>
      <c r="D31" s="565"/>
      <c r="E31" s="566"/>
      <c r="F31" s="592"/>
      <c r="G31" s="2158" t="s">
        <v>85</v>
      </c>
      <c r="H31" s="2159"/>
      <c r="I31" s="2160"/>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3">
      <c r="A32" s="570"/>
      <c r="B32" s="434"/>
      <c r="C32" s="631"/>
      <c r="D32" s="593" t="s">
        <v>93</v>
      </c>
      <c r="E32" s="635" t="str">
        <f>IF(AND(E24&gt;0,E26&gt;0),"Sim","Não")</f>
        <v>Não</v>
      </c>
      <c r="F32" s="2149" t="str">
        <f>IF(AND(E24&gt;0,E33&lt;50,E33&gt;0),"Mín. é 50 t/d. Rever Célula E25","")</f>
        <v/>
      </c>
      <c r="G32" s="631"/>
      <c r="H32" s="594" t="s">
        <v>92</v>
      </c>
      <c r="I32" s="732" t="s">
        <v>89</v>
      </c>
      <c r="J32" s="434"/>
      <c r="K32" s="233" t="s">
        <v>780</v>
      </c>
      <c r="L32" s="98">
        <f>O32+O33</f>
        <v>109.22499999999999</v>
      </c>
      <c r="M32" s="644"/>
      <c r="N32" s="987" t="s">
        <v>54</v>
      </c>
      <c r="O32" s="985">
        <f>IF(AND($I$25&gt;0,$I$24="Sim"),I27/N15*D15*'R-Avançado'!E11/100,0)</f>
        <v>102.85</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3">
      <c r="A33" s="570"/>
      <c r="B33" s="434"/>
      <c r="C33" s="632"/>
      <c r="D33" s="565" t="s">
        <v>91</v>
      </c>
      <c r="E33" s="98">
        <f>E24*E26/100</f>
        <v>0</v>
      </c>
      <c r="F33" s="2150"/>
      <c r="G33" s="631"/>
      <c r="H33" s="594" t="s">
        <v>93</v>
      </c>
      <c r="I33" s="732" t="s">
        <v>89</v>
      </c>
      <c r="J33" s="434"/>
      <c r="K33" s="233" t="s">
        <v>781</v>
      </c>
      <c r="L33" s="98">
        <f>'R-Entrada'!E45</f>
        <v>0</v>
      </c>
      <c r="M33" s="645"/>
      <c r="N33" s="987" t="s">
        <v>55</v>
      </c>
      <c r="O33" s="985">
        <f>IF(AND($I$25&gt;0,$I$24="Sim"),I27/N15*E15*'R-Avançado'!E11/100,0)</f>
        <v>6.375</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3">
      <c r="A34" s="570"/>
      <c r="B34" s="434"/>
      <c r="C34" s="633"/>
      <c r="D34" s="600" t="s">
        <v>81</v>
      </c>
      <c r="E34" s="970" t="s">
        <v>64</v>
      </c>
      <c r="F34" s="2150"/>
      <c r="G34" s="641"/>
      <c r="H34" s="594" t="s">
        <v>960</v>
      </c>
      <c r="I34" s="958" t="s">
        <v>89</v>
      </c>
      <c r="J34" s="434"/>
      <c r="K34" s="642" t="s">
        <v>818</v>
      </c>
      <c r="L34" s="98">
        <f>SUM(M34:O34)</f>
        <v>94.5</v>
      </c>
      <c r="M34" s="98">
        <f>IF(E28="Sim",E29*(1-'R-Avançado'!H11/100)*0.9,0)</f>
        <v>0</v>
      </c>
      <c r="N34" s="986">
        <f>IF(E32="Sim",E33*(1-'R-Avançado'!G11/100)*0.9,0)</f>
        <v>0</v>
      </c>
      <c r="O34" s="98">
        <f>D43+E43+F43+G43+H43+L43</f>
        <v>94.5</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3">
      <c r="A35" s="570"/>
      <c r="B35" s="434"/>
      <c r="C35" s="548"/>
      <c r="D35" s="434"/>
      <c r="E35" s="434"/>
      <c r="F35" s="434"/>
      <c r="G35" s="641"/>
      <c r="H35" s="594" t="s">
        <v>961</v>
      </c>
      <c r="I35" s="958" t="s">
        <v>89</v>
      </c>
      <c r="J35" s="434"/>
      <c r="K35" s="642" t="s">
        <v>829</v>
      </c>
      <c r="L35" s="98">
        <f>SUM(M35:O35)</f>
        <v>26.337500000000006</v>
      </c>
      <c r="M35" s="98">
        <f>IF(E28="Sim",E29*(1-'R-Avançado'!H11/100)*0.1,0)</f>
        <v>0</v>
      </c>
      <c r="N35" s="98">
        <f>IF(E32="Sim",E33*(1-'R-Avançado'!G11/100)*0.1,0)</f>
        <v>0</v>
      </c>
      <c r="O35" s="98">
        <f>M43+K43+J43+I43</f>
        <v>26.337500000000006</v>
      </c>
      <c r="P35" s="434"/>
      <c r="Q35" s="544"/>
      <c r="R35" s="544"/>
      <c r="S35" s="544"/>
      <c r="T35" s="544"/>
      <c r="U35" s="544"/>
      <c r="V35" s="544"/>
      <c r="W35" s="544"/>
      <c r="X35" s="544"/>
      <c r="Y35" s="544"/>
      <c r="Z35" s="544"/>
      <c r="AA35" s="3"/>
      <c r="AB35" s="3"/>
      <c r="AC35" s="3"/>
      <c r="AD35" s="3"/>
      <c r="AE35" s="3"/>
      <c r="AF35" s="3"/>
      <c r="AG35" s="3"/>
      <c r="AH35" s="3"/>
      <c r="AI35" s="3"/>
    </row>
    <row r="36" spans="1:35" ht="19.2" customHeight="1" x14ac:dyDescent="0.3">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2" customHeight="1" x14ac:dyDescent="0.3">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3">
      <c r="A38" s="570"/>
      <c r="B38" s="434"/>
      <c r="C38" s="530"/>
      <c r="D38" s="2111" t="s">
        <v>514</v>
      </c>
      <c r="E38" s="2118"/>
      <c r="F38" s="2118"/>
      <c r="G38" s="2118"/>
      <c r="H38" s="2118"/>
      <c r="I38" s="2118"/>
      <c r="J38" s="2118"/>
      <c r="K38" s="2118"/>
      <c r="L38" s="2118"/>
      <c r="M38" s="2118"/>
      <c r="N38" s="2118"/>
      <c r="O38" s="434"/>
      <c r="P38" s="434"/>
      <c r="Q38" s="544"/>
      <c r="R38" s="544"/>
      <c r="S38" s="544" t="s">
        <v>94</v>
      </c>
      <c r="T38" s="544"/>
      <c r="U38" s="544"/>
      <c r="V38" s="544"/>
      <c r="W38" s="544"/>
      <c r="X38" s="544"/>
      <c r="Y38" s="544"/>
      <c r="Z38" s="544"/>
      <c r="AA38" s="3"/>
      <c r="AB38" s="3"/>
      <c r="AC38" s="3"/>
      <c r="AD38" s="3"/>
      <c r="AE38" s="3"/>
      <c r="AF38" s="3"/>
      <c r="AG38" s="3"/>
      <c r="AH38" s="3"/>
      <c r="AI38" s="3"/>
    </row>
    <row r="39" spans="1:35" ht="17.7" customHeight="1" x14ac:dyDescent="0.3">
      <c r="A39" s="570"/>
      <c r="B39" s="434"/>
      <c r="C39" s="439"/>
      <c r="D39" s="2111" t="s">
        <v>25</v>
      </c>
      <c r="E39" s="2148"/>
      <c r="F39" s="2119" t="s">
        <v>49</v>
      </c>
      <c r="G39" s="2111" t="s">
        <v>475</v>
      </c>
      <c r="H39" s="2148"/>
      <c r="I39" s="2111" t="s">
        <v>51</v>
      </c>
      <c r="J39" s="2111" t="s">
        <v>52</v>
      </c>
      <c r="K39" s="2148"/>
      <c r="L39" s="2111" t="s">
        <v>477</v>
      </c>
      <c r="M39" s="2148"/>
      <c r="N39" s="2129"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700000000000003" customHeight="1" x14ac:dyDescent="0.3">
      <c r="A40" s="570"/>
      <c r="B40" s="434"/>
      <c r="C40" s="439"/>
      <c r="D40" s="499" t="s">
        <v>54</v>
      </c>
      <c r="E40" s="499" t="s">
        <v>55</v>
      </c>
      <c r="F40" s="2151"/>
      <c r="G40" s="499" t="s">
        <v>56</v>
      </c>
      <c r="H40" s="499" t="s">
        <v>57</v>
      </c>
      <c r="I40" s="2148"/>
      <c r="J40" s="499" t="s">
        <v>58</v>
      </c>
      <c r="K40" s="499" t="s">
        <v>510</v>
      </c>
      <c r="L40" s="499" t="s">
        <v>478</v>
      </c>
      <c r="M40" s="500" t="s">
        <v>509</v>
      </c>
      <c r="N40" s="2148"/>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3">
      <c r="A41" s="570"/>
      <c r="B41" s="434"/>
      <c r="C41" s="647" t="s">
        <v>816</v>
      </c>
      <c r="D41" s="121">
        <f t="shared" ref="D41:M41" si="2">IF(AND($I$25&gt;0,$I$24="Sim"),D15*$I$27/$N$15,0)</f>
        <v>121</v>
      </c>
      <c r="E41" s="121">
        <f t="shared" si="2"/>
        <v>7.5</v>
      </c>
      <c r="F41" s="121">
        <f t="shared" si="2"/>
        <v>32.75</v>
      </c>
      <c r="G41" s="121">
        <f t="shared" si="2"/>
        <v>22.25</v>
      </c>
      <c r="H41" s="121">
        <f t="shared" si="2"/>
        <v>11.5</v>
      </c>
      <c r="I41" s="121">
        <f t="shared" si="2"/>
        <v>6</v>
      </c>
      <c r="J41" s="121">
        <f t="shared" si="2"/>
        <v>5.75</v>
      </c>
      <c r="K41" s="121">
        <f t="shared" si="2"/>
        <v>1.5</v>
      </c>
      <c r="L41" s="121">
        <f t="shared" si="2"/>
        <v>25.349999999999998</v>
      </c>
      <c r="M41" s="121">
        <f t="shared" si="2"/>
        <v>16.400000000000006</v>
      </c>
      <c r="N41" s="98">
        <f>SUM(D41:M41)</f>
        <v>250</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3">
      <c r="A42" s="570"/>
      <c r="B42" s="434"/>
      <c r="C42" s="648" t="s">
        <v>96</v>
      </c>
      <c r="D42" s="121">
        <f>O32</f>
        <v>102.85</v>
      </c>
      <c r="E42" s="121">
        <f>O33</f>
        <v>6.375</v>
      </c>
      <c r="F42" s="121">
        <f>O24</f>
        <v>8.1875</v>
      </c>
      <c r="G42" s="121">
        <f>O25</f>
        <v>5.5625</v>
      </c>
      <c r="H42" s="121">
        <f>O26</f>
        <v>2.875</v>
      </c>
      <c r="I42" s="121">
        <f>O27</f>
        <v>1.5</v>
      </c>
      <c r="J42" s="121">
        <f>O28</f>
        <v>1.4375</v>
      </c>
      <c r="K42" s="121">
        <f>O29</f>
        <v>0.375</v>
      </c>
      <c r="L42" s="121">
        <v>0</v>
      </c>
      <c r="M42" s="121">
        <v>0</v>
      </c>
      <c r="N42" s="98">
        <f>SUM(D42:M42)</f>
        <v>129.16249999999999</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3">
      <c r="A43" s="570"/>
      <c r="B43" s="434"/>
      <c r="C43" s="648" t="s">
        <v>817</v>
      </c>
      <c r="D43" s="122">
        <f t="shared" ref="D43:M43" si="3">D41-D42</f>
        <v>18.150000000000006</v>
      </c>
      <c r="E43" s="122">
        <f t="shared" si="3"/>
        <v>1.125</v>
      </c>
      <c r="F43" s="122">
        <f t="shared" si="3"/>
        <v>24.5625</v>
      </c>
      <c r="G43" s="122">
        <f t="shared" si="3"/>
        <v>16.6875</v>
      </c>
      <c r="H43" s="122">
        <f t="shared" si="3"/>
        <v>8.625</v>
      </c>
      <c r="I43" s="122">
        <f t="shared" si="3"/>
        <v>4.5</v>
      </c>
      <c r="J43" s="122">
        <f t="shared" si="3"/>
        <v>4.3125</v>
      </c>
      <c r="K43" s="122">
        <f t="shared" si="3"/>
        <v>1.125</v>
      </c>
      <c r="L43" s="122">
        <f t="shared" si="3"/>
        <v>25.349999999999998</v>
      </c>
      <c r="M43" s="122">
        <f t="shared" si="3"/>
        <v>16.400000000000006</v>
      </c>
      <c r="N43" s="98">
        <f>SUM(D43:M43)</f>
        <v>120.83750000000001</v>
      </c>
      <c r="O43" s="548"/>
      <c r="P43" s="492"/>
      <c r="Q43" s="544"/>
      <c r="R43" s="544"/>
      <c r="S43" s="544" t="s">
        <v>62</v>
      </c>
      <c r="T43" s="544">
        <f>IF($I$28="CDR",O34,0)</f>
        <v>94.5</v>
      </c>
      <c r="U43" s="544" t="s">
        <v>53</v>
      </c>
      <c r="V43" s="544"/>
      <c r="W43" s="544"/>
      <c r="X43" s="544"/>
      <c r="Y43" s="544"/>
      <c r="Z43" s="544"/>
      <c r="AA43" s="3"/>
      <c r="AB43" s="3"/>
      <c r="AC43" s="3"/>
      <c r="AD43" s="3"/>
      <c r="AE43" s="3"/>
      <c r="AF43" s="3"/>
      <c r="AG43" s="3"/>
      <c r="AH43" s="3"/>
      <c r="AI43" s="3"/>
    </row>
    <row r="44" spans="1:35" ht="18" customHeight="1" x14ac:dyDescent="0.3">
      <c r="A44" s="570"/>
      <c r="B44" s="434"/>
      <c r="C44" s="648" t="s">
        <v>98</v>
      </c>
      <c r="D44" s="98">
        <f t="shared" ref="D44:M44" si="4">D15-D41</f>
        <v>0</v>
      </c>
      <c r="E44" s="98">
        <f t="shared" si="4"/>
        <v>0</v>
      </c>
      <c r="F44" s="98">
        <f t="shared" si="4"/>
        <v>0</v>
      </c>
      <c r="G44" s="98">
        <f t="shared" si="4"/>
        <v>0</v>
      </c>
      <c r="H44" s="98">
        <f t="shared" si="4"/>
        <v>0</v>
      </c>
      <c r="I44" s="98">
        <f t="shared" si="4"/>
        <v>0</v>
      </c>
      <c r="J44" s="98">
        <f t="shared" si="4"/>
        <v>0</v>
      </c>
      <c r="K44" s="98">
        <f t="shared" si="4"/>
        <v>0</v>
      </c>
      <c r="L44" s="98">
        <f t="shared" si="4"/>
        <v>0</v>
      </c>
      <c r="M44" s="98">
        <f t="shared" si="4"/>
        <v>0</v>
      </c>
      <c r="N44" s="98">
        <f>SUM(D44:M44)</f>
        <v>0</v>
      </c>
      <c r="O44" s="548"/>
      <c r="P44" s="492"/>
      <c r="Q44" s="544"/>
      <c r="R44" s="544" t="s">
        <v>99</v>
      </c>
      <c r="S44" s="544" t="s">
        <v>64</v>
      </c>
      <c r="T44" s="544">
        <f>IF($I$28="Incineração",O34+O35,0)</f>
        <v>0</v>
      </c>
      <c r="U44" s="544"/>
      <c r="V44" s="544"/>
      <c r="W44" s="544"/>
      <c r="X44" s="544"/>
      <c r="Y44" s="544"/>
      <c r="Z44" s="544"/>
      <c r="AA44" s="3"/>
      <c r="AB44" s="3"/>
      <c r="AC44" s="3"/>
      <c r="AD44" s="3"/>
      <c r="AE44" s="3"/>
      <c r="AF44" s="3"/>
      <c r="AG44" s="3"/>
      <c r="AH44" s="3"/>
      <c r="AI44" s="3"/>
    </row>
    <row r="45" spans="1:35" ht="18" customHeight="1" x14ac:dyDescent="0.3">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2" customHeight="1" x14ac:dyDescent="0.3">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3">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3">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3">
      <c r="A49" s="574"/>
      <c r="B49" s="434"/>
      <c r="C49" s="92"/>
      <c r="D49" s="118" t="s">
        <v>515</v>
      </c>
      <c r="E49" s="122">
        <f>IF(E30="CDR",M34,0)</f>
        <v>0</v>
      </c>
      <c r="F49" s="434"/>
      <c r="G49" s="92"/>
      <c r="H49" s="118" t="s">
        <v>72</v>
      </c>
      <c r="I49" s="98">
        <f>SUM(E49:E52)</f>
        <v>94.5</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3">
      <c r="A50" s="574"/>
      <c r="B50" s="434"/>
      <c r="C50" s="92"/>
      <c r="D50" s="118" t="s">
        <v>516</v>
      </c>
      <c r="E50" s="122">
        <f>IF(E34="CDR",N34,0)</f>
        <v>0</v>
      </c>
      <c r="F50" s="434"/>
      <c r="G50" s="564"/>
      <c r="H50" s="564"/>
      <c r="I50" s="966"/>
      <c r="J50" s="434"/>
      <c r="K50" s="118" t="s">
        <v>105</v>
      </c>
      <c r="L50" s="967">
        <f>100-L49</f>
        <v>100</v>
      </c>
      <c r="M50" s="434"/>
      <c r="N50" s="118" t="s">
        <v>106</v>
      </c>
      <c r="O50" s="968">
        <f>(I49-O53-O55)*L50/100</f>
        <v>44.887500000000003</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3">
      <c r="A51" s="574"/>
      <c r="B51" s="434"/>
      <c r="C51" s="92"/>
      <c r="D51" s="118" t="s">
        <v>517</v>
      </c>
      <c r="E51" s="122">
        <f>IF(I28="CDR",O34,0)</f>
        <v>94.5</v>
      </c>
      <c r="F51" s="434"/>
      <c r="G51" s="92"/>
      <c r="H51" s="118" t="s">
        <v>520</v>
      </c>
      <c r="I51" s="98">
        <f>IF(E52=0,I49,0)</f>
        <v>94.5</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3">
      <c r="A52" s="574"/>
      <c r="B52" s="434"/>
      <c r="C52" s="92"/>
      <c r="D52" s="118" t="s">
        <v>518</v>
      </c>
      <c r="E52" s="122">
        <f>IF(I29="Biosecagem CDR",L32,0)</f>
        <v>0</v>
      </c>
      <c r="F52" s="434"/>
      <c r="G52" s="92"/>
      <c r="H52" s="118" t="s">
        <v>521</v>
      </c>
      <c r="I52" s="98">
        <f>IF(E52&gt;0,I49,0)</f>
        <v>0</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3">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47.25</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3">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3">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2.3624999999999998</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3">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45" customHeight="1" x14ac:dyDescent="0.3">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3">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5">
      <c r="A59" s="575"/>
      <c r="B59" s="439"/>
      <c r="C59" s="707"/>
      <c r="D59" s="118" t="s">
        <v>522</v>
      </c>
      <c r="E59" s="122">
        <f>IF(AND(I29&lt;&gt;"Biosecagem CDR",I29&lt;&gt;"Aterro sanitário",I29&lt;&gt;"Incineração"),L32,0)</f>
        <v>109.22499999999999</v>
      </c>
      <c r="F59" s="356">
        <f>IF(E59&gt;0,E59/E60,"")</f>
        <v>1</v>
      </c>
      <c r="G59" s="433"/>
      <c r="H59" s="132"/>
      <c r="I59" s="118" t="s">
        <v>110</v>
      </c>
      <c r="J59" s="131">
        <v>0</v>
      </c>
      <c r="K59" s="653" t="str">
        <f>IF(J59&lt;&gt;0,"&gt;&gt;&gt;&gt;","")</f>
        <v/>
      </c>
      <c r="L59" s="654" t="str">
        <f>IF(J59&gt;0,J59/100*E60,"")</f>
        <v/>
      </c>
      <c r="M59" s="643" t="str">
        <f>IF(J59&gt;0,"t/d","")</f>
        <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5">
      <c r="A60" s="575"/>
      <c r="B60" s="439"/>
      <c r="C60" s="707"/>
      <c r="D60" s="118" t="s">
        <v>111</v>
      </c>
      <c r="E60" s="122">
        <f>SUM(E58:E59)</f>
        <v>109.22499999999999</v>
      </c>
      <c r="F60" s="358">
        <f>IF(E60&gt;0,E60/E60,"")</f>
        <v>1</v>
      </c>
      <c r="G60" s="433"/>
      <c r="H60" s="132"/>
      <c r="I60" s="118" t="s">
        <v>112</v>
      </c>
      <c r="J60" s="131">
        <v>100</v>
      </c>
      <c r="K60" s="435" t="str">
        <f>IF(J60&lt;&gt;0,"&gt;&gt;&gt;&gt;","")</f>
        <v>&gt;&gt;&gt;&gt;</v>
      </c>
      <c r="L60" s="651">
        <f>IF(J60&gt;0,J60/100*E60,"")</f>
        <v>109.22499999999999</v>
      </c>
      <c r="M60" s="436" t="str">
        <f>IF(J60&gt;0,"t/d","")</f>
        <v>t/d</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3">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56" t="s">
        <v>113</v>
      </c>
      <c r="O61" s="2157"/>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3">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0</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3">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109.22499999999999</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3">
      <c r="A64" s="575"/>
      <c r="B64" s="439"/>
      <c r="C64" s="132"/>
      <c r="D64" s="118" t="s">
        <v>121</v>
      </c>
      <c r="E64" s="130" t="s">
        <v>122</v>
      </c>
      <c r="F64" s="132"/>
      <c r="G64" s="433"/>
      <c r="H64" s="132"/>
      <c r="I64" s="118" t="s">
        <v>123</v>
      </c>
      <c r="J64" s="131">
        <v>50</v>
      </c>
      <c r="K64" s="433"/>
      <c r="L64" s="433"/>
      <c r="M64" s="132"/>
      <c r="N64" s="118" t="s">
        <v>526</v>
      </c>
      <c r="O64" s="659">
        <f>IF(J67&lt;&gt;"Compost. nobre",E60*J61/100+J68,E60*J61/100)</f>
        <v>0</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3">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3">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3">
      <c r="A67" s="575"/>
      <c r="B67" s="439"/>
      <c r="C67" s="439"/>
      <c r="D67" s="433"/>
      <c r="E67" s="433"/>
      <c r="F67" s="433"/>
      <c r="G67" s="433"/>
      <c r="H67" s="132"/>
      <c r="I67" s="118" t="s">
        <v>130</v>
      </c>
      <c r="J67" s="130" t="s">
        <v>117</v>
      </c>
      <c r="K67" s="433"/>
      <c r="L67" s="433"/>
      <c r="M67" s="132"/>
      <c r="N67" s="118" t="s">
        <v>131</v>
      </c>
      <c r="O67" s="661">
        <f>O63-O63*(F69+F71)</f>
        <v>49.15124999999999</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3">
      <c r="A68" s="575"/>
      <c r="B68" s="439"/>
      <c r="C68" s="663"/>
      <c r="D68" s="128" t="s">
        <v>132</v>
      </c>
      <c r="E68" s="128"/>
      <c r="F68" s="708"/>
      <c r="G68" s="433"/>
      <c r="H68" s="132"/>
      <c r="I68" s="118" t="s">
        <v>133</v>
      </c>
      <c r="J68" s="659">
        <f>IF(J67&lt;&gt;"Uso agrícola dir.",E60*J59/100*(1-F63),0)</f>
        <v>0</v>
      </c>
      <c r="K68" s="433"/>
      <c r="L68" s="433"/>
      <c r="M68" s="132"/>
      <c r="N68" s="118" t="s">
        <v>134</v>
      </c>
      <c r="O68" s="661">
        <f>O64-O64*(F69+F71)</f>
        <v>0</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3">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0</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3">
      <c r="A70" s="575"/>
      <c r="B70" s="439"/>
      <c r="C70" s="439"/>
      <c r="D70" s="596"/>
      <c r="E70" s="439"/>
      <c r="F70" s="439"/>
      <c r="G70" s="433"/>
      <c r="H70" s="433"/>
      <c r="I70" s="665"/>
      <c r="J70" s="666" t="s">
        <v>524</v>
      </c>
      <c r="K70" s="479"/>
      <c r="L70" s="433"/>
      <c r="M70" s="664"/>
      <c r="N70" s="600" t="s">
        <v>136</v>
      </c>
      <c r="O70" s="662">
        <f>IF(J59&gt;0,O62*J64/100*F65*'R-Avançado'!F23/100*'R-Avançado'!F24/100,0)</f>
        <v>0</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3">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3">
      <c r="A72" s="575"/>
      <c r="B72" s="439"/>
      <c r="C72" s="439"/>
      <c r="D72" s="433"/>
      <c r="E72" s="433"/>
      <c r="F72" s="433"/>
      <c r="G72" s="433"/>
      <c r="H72" s="433"/>
      <c r="I72" s="2165" t="s">
        <v>126</v>
      </c>
      <c r="J72" s="2166"/>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3">
      <c r="A73" s="575"/>
      <c r="B73" s="439"/>
      <c r="C73" s="439"/>
      <c r="D73" s="433"/>
      <c r="E73" s="433"/>
      <c r="F73" s="433"/>
      <c r="G73" s="433"/>
      <c r="H73" s="433"/>
      <c r="I73" s="433"/>
      <c r="J73" s="433"/>
      <c r="K73" s="433"/>
      <c r="L73" s="132"/>
      <c r="M73" s="132"/>
      <c r="N73" s="118" t="s">
        <v>527</v>
      </c>
      <c r="O73" s="661">
        <f>(O63+O64)*F71</f>
        <v>27.306249999999999</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3">
      <c r="A74" s="570"/>
      <c r="B74" s="530"/>
      <c r="C74" s="530"/>
      <c r="D74" s="434"/>
      <c r="E74" s="434"/>
      <c r="F74" s="434"/>
      <c r="G74" s="434"/>
      <c r="H74" s="434"/>
      <c r="I74" s="434"/>
      <c r="J74" s="434"/>
      <c r="K74" s="434"/>
      <c r="L74" s="92"/>
      <c r="M74" s="92"/>
      <c r="N74" s="118" t="s">
        <v>140</v>
      </c>
      <c r="O74" s="969">
        <f>O62*F63+O63*F69+O64*F69</f>
        <v>32.767499999999998</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3">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3">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3">
      <c r="A77" s="570"/>
      <c r="B77" s="467"/>
      <c r="C77" s="467"/>
      <c r="D77" s="2163" t="s">
        <v>533</v>
      </c>
      <c r="E77" s="2164"/>
      <c r="F77" s="2164"/>
      <c r="G77" s="2164"/>
      <c r="H77" s="2164"/>
      <c r="I77" s="2164"/>
      <c r="J77" s="2164"/>
      <c r="K77" s="2164"/>
      <c r="L77" s="2164"/>
      <c r="M77" s="2164"/>
      <c r="N77" s="2164"/>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3">
      <c r="A78" s="570"/>
      <c r="B78" s="467"/>
      <c r="C78" s="467"/>
      <c r="D78" s="2163" t="s">
        <v>25</v>
      </c>
      <c r="E78" s="2164"/>
      <c r="F78" s="2168" t="s">
        <v>49</v>
      </c>
      <c r="G78" s="2163" t="s">
        <v>475</v>
      </c>
      <c r="H78" s="2164"/>
      <c r="I78" s="2163" t="s">
        <v>476</v>
      </c>
      <c r="J78" s="2163" t="s">
        <v>52</v>
      </c>
      <c r="K78" s="2164"/>
      <c r="L78" s="2163" t="s">
        <v>477</v>
      </c>
      <c r="M78" s="2164"/>
      <c r="N78" s="2167"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3">
      <c r="A79" s="570"/>
      <c r="B79" s="467"/>
      <c r="C79" s="607"/>
      <c r="D79" s="505" t="s">
        <v>54</v>
      </c>
      <c r="E79" s="505" t="s">
        <v>55</v>
      </c>
      <c r="F79" s="2169"/>
      <c r="G79" s="505" t="s">
        <v>56</v>
      </c>
      <c r="H79" s="505" t="s">
        <v>57</v>
      </c>
      <c r="I79" s="2164"/>
      <c r="J79" s="505" t="s">
        <v>58</v>
      </c>
      <c r="K79" s="505" t="s">
        <v>510</v>
      </c>
      <c r="L79" s="505" t="s">
        <v>478</v>
      </c>
      <c r="M79" s="506" t="s">
        <v>509</v>
      </c>
      <c r="N79" s="2164"/>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3">
      <c r="A80" s="570"/>
      <c r="B80" s="467"/>
      <c r="C80" s="118" t="s">
        <v>838</v>
      </c>
      <c r="D80" s="135">
        <f t="shared" ref="D80:M80" si="5">SUM(D81:D84)</f>
        <v>18.150000000000006</v>
      </c>
      <c r="E80" s="135">
        <f t="shared" si="5"/>
        <v>1.125</v>
      </c>
      <c r="F80" s="135">
        <f t="shared" si="5"/>
        <v>24.5625</v>
      </c>
      <c r="G80" s="135">
        <f t="shared" si="5"/>
        <v>16.6875</v>
      </c>
      <c r="H80" s="135">
        <f t="shared" si="5"/>
        <v>8.625</v>
      </c>
      <c r="I80" s="135">
        <f t="shared" si="5"/>
        <v>4.5</v>
      </c>
      <c r="J80" s="135">
        <f t="shared" si="5"/>
        <v>4.3125</v>
      </c>
      <c r="K80" s="135">
        <f t="shared" si="5"/>
        <v>1.125</v>
      </c>
      <c r="L80" s="135">
        <f t="shared" si="5"/>
        <v>25.349999999999998</v>
      </c>
      <c r="M80" s="135">
        <f t="shared" si="5"/>
        <v>16.400000000000006</v>
      </c>
      <c r="N80" s="669">
        <f>SUM(D80:M80)</f>
        <v>120.83750000000001</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3">
      <c r="A81" s="570"/>
      <c r="B81" s="467"/>
      <c r="C81" s="117" t="s">
        <v>98</v>
      </c>
      <c r="D81" s="141">
        <f t="shared" ref="D81:M81" si="6">D44</f>
        <v>0</v>
      </c>
      <c r="E81" s="141">
        <f t="shared" si="6"/>
        <v>0</v>
      </c>
      <c r="F81" s="141">
        <f t="shared" si="6"/>
        <v>0</v>
      </c>
      <c r="G81" s="141">
        <f t="shared" si="6"/>
        <v>0</v>
      </c>
      <c r="H81" s="141">
        <f t="shared" si="6"/>
        <v>0</v>
      </c>
      <c r="I81" s="141">
        <f t="shared" si="6"/>
        <v>0</v>
      </c>
      <c r="J81" s="141">
        <f t="shared" si="6"/>
        <v>0</v>
      </c>
      <c r="K81" s="141">
        <f t="shared" si="6"/>
        <v>0</v>
      </c>
      <c r="L81" s="141">
        <f t="shared" si="6"/>
        <v>0</v>
      </c>
      <c r="M81" s="141">
        <f t="shared" si="6"/>
        <v>0</v>
      </c>
      <c r="N81" s="670">
        <f>SUM(D81:M81)</f>
        <v>0</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3">
      <c r="A82" s="570"/>
      <c r="B82" s="467"/>
      <c r="C82" s="117" t="s">
        <v>141</v>
      </c>
      <c r="D82" s="141">
        <f t="shared" ref="D82:M82" si="7">D43</f>
        <v>18.150000000000006</v>
      </c>
      <c r="E82" s="141">
        <f t="shared" si="7"/>
        <v>1.125</v>
      </c>
      <c r="F82" s="141">
        <f t="shared" si="7"/>
        <v>24.5625</v>
      </c>
      <c r="G82" s="141">
        <f t="shared" si="7"/>
        <v>16.6875</v>
      </c>
      <c r="H82" s="141">
        <f t="shared" si="7"/>
        <v>8.625</v>
      </c>
      <c r="I82" s="141">
        <f t="shared" si="7"/>
        <v>4.5</v>
      </c>
      <c r="J82" s="141">
        <f t="shared" si="7"/>
        <v>4.3125</v>
      </c>
      <c r="K82" s="141">
        <f t="shared" si="7"/>
        <v>1.125</v>
      </c>
      <c r="L82" s="141">
        <f t="shared" si="7"/>
        <v>25.349999999999998</v>
      </c>
      <c r="M82" s="141">
        <f t="shared" si="7"/>
        <v>16.400000000000006</v>
      </c>
      <c r="N82" s="670">
        <f>SUM(D82:M82)</f>
        <v>120.83750000000001</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3">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3">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5" customHeight="1" x14ac:dyDescent="0.3">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3">
      <c r="A86" s="570"/>
      <c r="B86" s="467"/>
      <c r="C86" s="118" t="s">
        <v>837</v>
      </c>
      <c r="D86" s="200">
        <f t="shared" ref="D86:M86" si="8">SUM(D87:D89)</f>
        <v>18.150000000000006</v>
      </c>
      <c r="E86" s="200">
        <f t="shared" si="8"/>
        <v>1.125</v>
      </c>
      <c r="F86" s="200">
        <f t="shared" si="8"/>
        <v>24.5625</v>
      </c>
      <c r="G86" s="200">
        <f t="shared" si="8"/>
        <v>16.6875</v>
      </c>
      <c r="H86" s="200">
        <f t="shared" si="8"/>
        <v>8.625</v>
      </c>
      <c r="I86" s="200">
        <f t="shared" si="8"/>
        <v>0</v>
      </c>
      <c r="J86" s="200">
        <f t="shared" si="8"/>
        <v>0</v>
      </c>
      <c r="K86" s="200">
        <f t="shared" si="8"/>
        <v>0</v>
      </c>
      <c r="L86" s="200">
        <f t="shared" si="8"/>
        <v>25.349999999999998</v>
      </c>
      <c r="M86" s="200">
        <f t="shared" si="8"/>
        <v>0</v>
      </c>
      <c r="N86" s="200">
        <f>SUM(D86:M86)</f>
        <v>94.5</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3">
      <c r="A87" s="570"/>
      <c r="B87" s="467"/>
      <c r="C87" s="117" t="s">
        <v>141</v>
      </c>
      <c r="D87" s="156">
        <f>IF($E$51&gt;0,D43,0)</f>
        <v>18.150000000000006</v>
      </c>
      <c r="E87" s="143">
        <f>IF($E$51&gt;0,E43,0)</f>
        <v>1.125</v>
      </c>
      <c r="F87" s="143">
        <f>IF($E$51&gt;0,F43,0)</f>
        <v>24.5625</v>
      </c>
      <c r="G87" s="143">
        <f>IF($E$51&gt;0,G43,0)</f>
        <v>16.6875</v>
      </c>
      <c r="H87" s="143">
        <f>IF($E$51&gt;0,H43,0)</f>
        <v>8.625</v>
      </c>
      <c r="I87" s="133"/>
      <c r="J87" s="133"/>
      <c r="K87" s="133"/>
      <c r="L87" s="156">
        <f>IF($E$51&gt;0,L43,0)</f>
        <v>25.349999999999998</v>
      </c>
      <c r="M87" s="143"/>
      <c r="N87" s="677">
        <f>SUM(D87:M87)</f>
        <v>94.5</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3">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3">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3">
      <c r="A90" s="570"/>
      <c r="B90" s="467"/>
      <c r="C90" s="118" t="s">
        <v>556</v>
      </c>
      <c r="D90" s="135">
        <f t="shared" ref="D90:M90" si="9">D80-D86</f>
        <v>0</v>
      </c>
      <c r="E90" s="135">
        <f t="shared" si="9"/>
        <v>0</v>
      </c>
      <c r="F90" s="135">
        <f t="shared" si="9"/>
        <v>0</v>
      </c>
      <c r="G90" s="135">
        <f t="shared" si="9"/>
        <v>0</v>
      </c>
      <c r="H90" s="135">
        <f t="shared" si="9"/>
        <v>0</v>
      </c>
      <c r="I90" s="135">
        <f t="shared" si="9"/>
        <v>4.5</v>
      </c>
      <c r="J90" s="135">
        <f t="shared" si="9"/>
        <v>4.3125</v>
      </c>
      <c r="K90" s="135">
        <f t="shared" si="9"/>
        <v>1.125</v>
      </c>
      <c r="L90" s="135">
        <f t="shared" si="9"/>
        <v>0</v>
      </c>
      <c r="M90" s="135">
        <f t="shared" si="9"/>
        <v>16.400000000000006</v>
      </c>
      <c r="N90" s="669">
        <f>SUM(D90:M90)</f>
        <v>26.337500000000006</v>
      </c>
      <c r="O90" s="569"/>
      <c r="P90" s="588"/>
      <c r="Q90" s="544"/>
      <c r="R90" s="544"/>
      <c r="S90" s="544"/>
      <c r="T90" s="544"/>
      <c r="U90" s="544"/>
      <c r="V90" s="544"/>
      <c r="W90" s="544"/>
      <c r="X90" s="544"/>
      <c r="Y90" s="544"/>
      <c r="Z90" s="544"/>
      <c r="AA90" s="3"/>
      <c r="AB90" s="3"/>
      <c r="AC90" s="3"/>
      <c r="AD90" s="3"/>
      <c r="AE90" s="3"/>
      <c r="AF90" s="3"/>
      <c r="AG90" s="3"/>
      <c r="AH90" s="3"/>
      <c r="AI90" s="3"/>
    </row>
    <row r="91" spans="1:35" ht="1.95" customHeight="1" x14ac:dyDescent="0.3">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3">
      <c r="A92" s="570"/>
      <c r="B92" s="467"/>
      <c r="C92" s="117" t="s">
        <v>144</v>
      </c>
      <c r="D92" s="200">
        <f>D90-D94+D97+(IF(I29="Incineração",O32,0))</f>
        <v>0</v>
      </c>
      <c r="E92" s="200">
        <f>E90-E94+E97+(IF(I29="Incineração",O33,0))</f>
        <v>0</v>
      </c>
      <c r="F92" s="200">
        <f t="shared" ref="F92:L92" si="10">F90-F94</f>
        <v>0</v>
      </c>
      <c r="G92" s="200">
        <f t="shared" si="10"/>
        <v>0</v>
      </c>
      <c r="H92" s="200">
        <f t="shared" si="10"/>
        <v>0</v>
      </c>
      <c r="I92" s="200">
        <f t="shared" si="10"/>
        <v>0</v>
      </c>
      <c r="J92" s="200">
        <f t="shared" si="10"/>
        <v>0</v>
      </c>
      <c r="K92" s="200">
        <f t="shared" si="10"/>
        <v>0</v>
      </c>
      <c r="L92" s="200">
        <f t="shared" si="10"/>
        <v>0</v>
      </c>
      <c r="M92" s="200">
        <f>M90-M94+M100+M101</f>
        <v>0</v>
      </c>
      <c r="N92" s="200">
        <f>SUM(D92:M93)</f>
        <v>0</v>
      </c>
      <c r="O92" s="569"/>
      <c r="P92" s="569"/>
      <c r="Q92" s="544"/>
      <c r="R92" s="544"/>
      <c r="S92" s="544"/>
      <c r="T92" s="544"/>
      <c r="U92" s="544"/>
      <c r="V92" s="544"/>
      <c r="W92" s="544"/>
      <c r="X92" s="544"/>
      <c r="Y92" s="544"/>
      <c r="Z92" s="544"/>
      <c r="AA92" s="3"/>
      <c r="AB92" s="3"/>
      <c r="AC92" s="3"/>
      <c r="AD92" s="3"/>
      <c r="AE92" s="3"/>
      <c r="AF92" s="3"/>
      <c r="AG92" s="3"/>
      <c r="AH92" s="3"/>
      <c r="AI92" s="3"/>
    </row>
    <row r="93" spans="1:35" ht="1.95" customHeight="1" x14ac:dyDescent="0.3">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3">
      <c r="A94" s="570"/>
      <c r="B94" s="467"/>
      <c r="C94" s="117" t="s">
        <v>145</v>
      </c>
      <c r="D94" s="200">
        <f t="shared" ref="D94:L94" si="11">SUM(D95:D99)</f>
        <v>0</v>
      </c>
      <c r="E94" s="200">
        <f t="shared" si="11"/>
        <v>0</v>
      </c>
      <c r="F94" s="200">
        <f t="shared" si="11"/>
        <v>0</v>
      </c>
      <c r="G94" s="200">
        <f t="shared" si="11"/>
        <v>0</v>
      </c>
      <c r="H94" s="200">
        <f t="shared" si="11"/>
        <v>0</v>
      </c>
      <c r="I94" s="200">
        <f t="shared" si="11"/>
        <v>4.5</v>
      </c>
      <c r="J94" s="200">
        <f t="shared" si="11"/>
        <v>4.3125</v>
      </c>
      <c r="K94" s="200">
        <f t="shared" si="11"/>
        <v>1.125</v>
      </c>
      <c r="L94" s="200">
        <f t="shared" si="11"/>
        <v>0</v>
      </c>
      <c r="M94" s="200">
        <f>SUM(M95:M101)</f>
        <v>90.956250000000011</v>
      </c>
      <c r="N94" s="200">
        <f t="shared" ref="N94:N101" si="12">SUM(D94:M94)</f>
        <v>100.89375000000001</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3">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3">
      <c r="A96" s="570"/>
      <c r="B96" s="467"/>
      <c r="C96" s="117" t="s">
        <v>141</v>
      </c>
      <c r="D96" s="141">
        <f t="shared" ref="D96:K96" si="14">IF($E$110&gt;0,0,D82-D86)</f>
        <v>0</v>
      </c>
      <c r="E96" s="141">
        <f t="shared" si="14"/>
        <v>0</v>
      </c>
      <c r="F96" s="141">
        <f t="shared" si="14"/>
        <v>0</v>
      </c>
      <c r="G96" s="141">
        <f t="shared" si="14"/>
        <v>0</v>
      </c>
      <c r="H96" s="141">
        <f t="shared" si="14"/>
        <v>0</v>
      </c>
      <c r="I96" s="141">
        <f t="shared" si="14"/>
        <v>4.5</v>
      </c>
      <c r="J96" s="141">
        <f t="shared" si="14"/>
        <v>4.3125</v>
      </c>
      <c r="K96" s="141">
        <f t="shared" si="14"/>
        <v>1.125</v>
      </c>
      <c r="L96" s="141">
        <f>IF(OR($I$28="Incineração",I28="CDR"),0,L43)</f>
        <v>0</v>
      </c>
      <c r="M96" s="141">
        <f>IF($I$28="Incineração",0,M43)</f>
        <v>16.400000000000006</v>
      </c>
      <c r="N96" s="670">
        <f t="shared" si="12"/>
        <v>26.337500000000006</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3">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3">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3">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3">
      <c r="A100" s="570"/>
      <c r="B100" s="467"/>
      <c r="C100" s="117" t="s">
        <v>147</v>
      </c>
      <c r="D100" s="141"/>
      <c r="E100" s="141"/>
      <c r="F100" s="141"/>
      <c r="G100" s="141"/>
      <c r="H100" s="141"/>
      <c r="I100" s="141"/>
      <c r="J100" s="141"/>
      <c r="K100" s="141"/>
      <c r="L100" s="141"/>
      <c r="M100" s="141">
        <f>O73+O53</f>
        <v>74.556250000000006</v>
      </c>
      <c r="N100" s="670">
        <f t="shared" si="12"/>
        <v>74.556250000000006</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3">
      <c r="A101" s="570"/>
      <c r="B101" s="467"/>
      <c r="C101" s="117" t="s">
        <v>148</v>
      </c>
      <c r="D101" s="141"/>
      <c r="E101" s="141"/>
      <c r="F101" s="141"/>
      <c r="G101" s="141"/>
      <c r="H101" s="141"/>
      <c r="I101" s="141"/>
      <c r="J101" s="141"/>
      <c r="K101" s="141"/>
      <c r="L101" s="141"/>
      <c r="M101" s="141">
        <f>O110</f>
        <v>0</v>
      </c>
      <c r="N101" s="670">
        <f t="shared" si="12"/>
        <v>0</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3">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3">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3">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3">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3">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3">
      <c r="A107" s="570"/>
      <c r="B107" s="569"/>
      <c r="C107" s="511"/>
      <c r="D107" s="118" t="s">
        <v>152</v>
      </c>
      <c r="E107" s="240">
        <f>IF(AND(H106="Sim", I24="Sim"),N15-I27,IF(AND(H106="Sim", I24="Não"),N15,0))</f>
        <v>0</v>
      </c>
      <c r="F107" s="612" t="str">
        <f>IF(AND(H106="Sim",E107=0),"Valor '0,00', mesmo com 'Sim' porque não há mistos sem triagem disponíveis","")</f>
        <v>Valor '0,00', mesmo com 'Sim' porque não há mistos sem triagem disponíveis</v>
      </c>
      <c r="G107" s="581"/>
      <c r="H107" s="581"/>
      <c r="I107" s="581"/>
      <c r="J107" s="581"/>
      <c r="K107" s="581"/>
      <c r="L107" s="681"/>
      <c r="M107" s="615"/>
      <c r="N107" s="126" t="s">
        <v>531</v>
      </c>
      <c r="O107" s="684">
        <f>IF(E112&gt;0,K112*J90*(E110/E112+E107/E112)*(E110+E107)/E112,0)</f>
        <v>0</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3">
      <c r="A108" s="570"/>
      <c r="B108" s="569"/>
      <c r="C108" s="511"/>
      <c r="D108" s="118" t="s">
        <v>528</v>
      </c>
      <c r="E108" s="240">
        <f>IF(E30="Incineração",M34+M35,0)</f>
        <v>0</v>
      </c>
      <c r="F108" s="612" t="str">
        <f>IF(AND(H106="Sim",E107=0),"Neste caso assinale 'Não' acima.","")</f>
        <v>Neste caso assinale 'Não' acima.</v>
      </c>
      <c r="G108" s="581"/>
      <c r="H108" s="613"/>
      <c r="I108" s="581"/>
      <c r="J108" s="611"/>
      <c r="K108" s="581"/>
      <c r="L108" s="681"/>
      <c r="M108" s="615"/>
      <c r="N108" s="126" t="s">
        <v>153</v>
      </c>
      <c r="O108" s="684">
        <f>IF(E112&gt;0,K90*K112*(E107/E112+E110/E112)*(E107+E110)/E112,0)</f>
        <v>0</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3">
      <c r="A109" s="570"/>
      <c r="B109" s="569"/>
      <c r="C109" s="511"/>
      <c r="D109" s="118" t="s">
        <v>529</v>
      </c>
      <c r="E109" s="240">
        <f>IF(E34="Incineração",N34+N35,0)</f>
        <v>0</v>
      </c>
      <c r="F109" s="2161" t="str">
        <f>IF(AND(E112&gt;0,E112&lt;500),"Cap. mín. é 500 t/d.  Rever envios à incineração em H106, E30, E34 ou I28","")</f>
        <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3">
      <c r="A110" s="570"/>
      <c r="B110" s="569"/>
      <c r="C110" s="511"/>
      <c r="D110" s="118" t="s">
        <v>530</v>
      </c>
      <c r="E110" s="240">
        <f>IF(I28="Incineração",N43,0)</f>
        <v>0</v>
      </c>
      <c r="F110" s="2162"/>
      <c r="G110" s="616"/>
      <c r="H110" s="616"/>
      <c r="I110" s="616"/>
      <c r="J110" s="620"/>
      <c r="K110" s="679"/>
      <c r="L110" s="681"/>
      <c r="M110" s="615"/>
      <c r="N110" s="126" t="s">
        <v>156</v>
      </c>
      <c r="O110" s="684">
        <f>(E112*J111/100)*(1-J113/100)</f>
        <v>0</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3">
      <c r="A111" s="570"/>
      <c r="B111" s="569"/>
      <c r="C111" s="707"/>
      <c r="D111" s="1705" t="s">
        <v>522</v>
      </c>
      <c r="E111" s="122">
        <f>IF(AND(I29&lt;&gt;"Biosecagem CDR",I29&lt;&gt;"Aterro sanitário",I29&lt;&gt;"Tratam. biológico"),L32,0)</f>
        <v>0</v>
      </c>
      <c r="F111" s="2162"/>
      <c r="G111" s="681"/>
      <c r="H111" s="618"/>
      <c r="I111" s="118" t="s">
        <v>157</v>
      </c>
      <c r="J111" s="201">
        <f>'R-Avançado'!F29</f>
        <v>20</v>
      </c>
      <c r="K111" s="680"/>
      <c r="L111" s="681"/>
      <c r="M111" s="615"/>
      <c r="N111" s="126" t="s">
        <v>135</v>
      </c>
      <c r="O111" s="685">
        <f>E112*E114*J109/100</f>
        <v>0</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3">
      <c r="A112" s="570"/>
      <c r="B112" s="569"/>
      <c r="C112" s="511"/>
      <c r="D112" s="118" t="s">
        <v>158</v>
      </c>
      <c r="E112" s="200">
        <f>SUM(E107:E111)</f>
        <v>0</v>
      </c>
      <c r="F112" s="2162"/>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3">
      <c r="A113" s="570"/>
      <c r="B113" s="569"/>
      <c r="C113" s="615"/>
      <c r="D113" s="565"/>
      <c r="E113" s="616"/>
      <c r="F113" s="2162"/>
      <c r="G113" s="149"/>
      <c r="H113" s="149"/>
      <c r="I113" s="118" t="s">
        <v>160</v>
      </c>
      <c r="J113" s="150">
        <v>0</v>
      </c>
      <c r="K113" s="680"/>
      <c r="L113" s="681"/>
      <c r="M113" s="615"/>
      <c r="N113" s="126" t="s">
        <v>161</v>
      </c>
      <c r="O113" s="682">
        <f>E112*(1-J111/100)-O107-O108</f>
        <v>0</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3">
      <c r="A114" s="570"/>
      <c r="B114" s="569"/>
      <c r="C114" s="511"/>
      <c r="D114" s="118" t="s">
        <v>162</v>
      </c>
      <c r="E114" s="619">
        <f>IF(E112&gt;0,277.78*((D92*'R-Avançado'!E36+E92*'R-Avançado'!F36+F92*'R-Avançado'!G36+G92*'R-Avançado'!H36+H92*'R-Avançado'!I36+I92*'R-Avançado'!J36+J92*'R-Avançado'!K36+K92*'R-Avançado'!L36+L92*'R-Avançado'!M36+M92*'R-Avançado'!N36)/N92),0)</f>
        <v>0</v>
      </c>
      <c r="F114" s="2162"/>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3">
      <c r="A115" s="570"/>
      <c r="B115" s="569"/>
      <c r="C115" s="581"/>
      <c r="D115" s="561"/>
      <c r="E115" s="581"/>
      <c r="F115" s="2162"/>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3">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3">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3">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3">
      <c r="A119" s="570"/>
      <c r="B119" s="569"/>
      <c r="C119" s="511"/>
      <c r="D119" s="118" t="s">
        <v>164</v>
      </c>
      <c r="E119" s="200">
        <f>N94</f>
        <v>100.89375000000001</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3">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3">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3">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3">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3">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3">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3">
      <c r="A126" s="570"/>
      <c r="B126" s="569"/>
      <c r="C126" s="511"/>
      <c r="D126" s="118" t="s">
        <v>180</v>
      </c>
      <c r="E126" s="619">
        <f>D94*'R-Avançado'!E38+E94*'R-Avançado'!F38+F94*'R-Avançado'!G38+G94*'R-Avançado'!H38+H94*'R-Avançado'!I38+I94*'R-Avançado'!J38+J94*'R-Avançado'!K38+K94*'R-Avançado'!L38+L94*'R-Avançado'!M38+M94*'R-Avançado'!N38</f>
        <v>68.390625</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3">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3">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3">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3">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5" customHeight="1" x14ac:dyDescent="0.3">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5" customHeight="1" x14ac:dyDescent="0.3">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5" customHeight="1" x14ac:dyDescent="0.3">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5" customHeight="1" x14ac:dyDescent="0.3">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5" customHeight="1" x14ac:dyDescent="0.3">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5" customHeight="1" x14ac:dyDescent="0.3">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5" customHeight="1" x14ac:dyDescent="0.3">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3">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3">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3">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3">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3">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3">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3">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3">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3">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3">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3">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3">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3">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3">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3">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3">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3">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3">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3">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3">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3">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3">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3">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3">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3">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3">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3">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3">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3">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3">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3">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3">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3">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3">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3">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3">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3">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3">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3">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3">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3">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3">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3">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3">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3">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3">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4140625" defaultRowHeight="15" customHeight="1" x14ac:dyDescent="0.3"/>
  <cols>
    <col min="1" max="1" width="0.33203125" style="164" customWidth="1"/>
    <col min="2" max="2" width="4.44140625" style="164" customWidth="1"/>
    <col min="3" max="3" width="8.44140625" style="164" customWidth="1"/>
    <col min="4" max="4" width="17.33203125" style="164" customWidth="1"/>
    <col min="5" max="6" width="18.44140625" style="164" customWidth="1"/>
    <col min="7" max="13" width="15.6640625" style="164" customWidth="1"/>
    <col min="14" max="14" width="17.33203125" style="164" customWidth="1"/>
    <col min="15" max="15" width="15.6640625" style="164" customWidth="1"/>
    <col min="16" max="16" width="3.44140625" style="164" customWidth="1"/>
  </cols>
  <sheetData>
    <row r="1" spans="1:21" s="956" customFormat="1" ht="15" customHeight="1" x14ac:dyDescent="0.3">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3">
      <c r="A2" s="164"/>
      <c r="B2" s="484"/>
      <c r="C2" s="207" t="s">
        <v>485</v>
      </c>
      <c r="D2" s="2193" t="str">
        <f>IF('R-Entrada'!D2&lt;&gt;0,'R-Entrada'!D2,"")</f>
        <v>CIRSOP - Consórcio RSU Oeste Paulista</v>
      </c>
      <c r="E2" s="2194"/>
      <c r="F2" s="484"/>
      <c r="G2" s="484"/>
      <c r="H2" s="484"/>
      <c r="I2" s="484"/>
      <c r="J2" s="484"/>
      <c r="K2" s="484"/>
      <c r="L2" s="484"/>
      <c r="M2" s="484"/>
      <c r="N2" s="484"/>
      <c r="O2" s="484"/>
      <c r="P2" s="484"/>
      <c r="Q2" s="484"/>
      <c r="R2" s="484"/>
      <c r="S2" s="484"/>
      <c r="T2" s="484"/>
      <c r="U2" s="484"/>
    </row>
    <row r="3" spans="1:21" s="956" customFormat="1" ht="15" customHeight="1" x14ac:dyDescent="0.3">
      <c r="A3" s="164"/>
      <c r="B3" s="484"/>
      <c r="C3" s="465" t="s">
        <v>486</v>
      </c>
      <c r="D3" s="2193" t="str">
        <f>IF('R-Entrada'!D3&lt;&gt;0,'R-Entrada'!D3,"")</f>
        <v>Biodigestão c/ Prod. E. Elétrica</v>
      </c>
      <c r="E3" s="2194"/>
      <c r="F3" s="484"/>
      <c r="G3" s="484"/>
      <c r="H3" s="484"/>
      <c r="I3" s="484"/>
      <c r="J3" s="484"/>
      <c r="K3" s="484"/>
      <c r="L3" s="484"/>
      <c r="M3" s="484"/>
      <c r="N3" s="484"/>
      <c r="O3" s="484"/>
      <c r="P3" s="484"/>
      <c r="Q3" s="484"/>
      <c r="R3" s="484"/>
      <c r="S3" s="484"/>
      <c r="T3" s="484"/>
      <c r="U3" s="484"/>
    </row>
    <row r="4" spans="1:21" ht="14.25" customHeight="1" x14ac:dyDescent="0.3">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3">
      <c r="A5" s="712"/>
      <c r="B5" s="203"/>
      <c r="C5" s="204" t="s">
        <v>534</v>
      </c>
      <c r="D5" s="203"/>
      <c r="E5" s="203"/>
      <c r="F5" s="203"/>
      <c r="G5" s="203"/>
      <c r="H5" s="203"/>
      <c r="I5" s="205"/>
      <c r="J5" s="727"/>
      <c r="K5" s="484"/>
      <c r="L5" s="484"/>
      <c r="M5" s="484"/>
      <c r="N5" s="2195" t="s">
        <v>473</v>
      </c>
      <c r="O5" s="2196"/>
      <c r="P5" s="484"/>
      <c r="Q5" s="484"/>
      <c r="R5" s="484"/>
      <c r="S5" s="484"/>
      <c r="T5" s="484"/>
      <c r="U5" s="484"/>
    </row>
    <row r="6" spans="1:21" ht="18.45" customHeight="1" x14ac:dyDescent="0.3">
      <c r="A6" s="484"/>
      <c r="B6" s="484"/>
      <c r="C6" s="484"/>
      <c r="D6" s="484"/>
      <c r="E6" s="484"/>
      <c r="F6" s="484"/>
      <c r="G6" s="484"/>
      <c r="H6" s="484"/>
      <c r="I6" s="484"/>
      <c r="J6" s="484"/>
      <c r="K6" s="484"/>
      <c r="L6" s="484"/>
      <c r="M6" s="484"/>
      <c r="N6" s="2122" t="str">
        <f>Apresentação!I2</f>
        <v>RC-RSU V.1.0 - 15/10/2020</v>
      </c>
      <c r="O6" s="2196"/>
      <c r="P6" s="484"/>
      <c r="Q6" s="484"/>
      <c r="R6" s="484"/>
      <c r="S6" s="484"/>
      <c r="T6" s="484"/>
      <c r="U6" s="484"/>
    </row>
    <row r="7" spans="1:21" ht="18" customHeight="1" x14ac:dyDescent="0.3">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3">
      <c r="A8" s="686"/>
      <c r="B8" s="1629"/>
      <c r="C8" s="1630"/>
      <c r="D8" s="714"/>
      <c r="E8" s="2179" t="s">
        <v>958</v>
      </c>
      <c r="F8" s="2180"/>
      <c r="G8" s="2180"/>
      <c r="H8" s="2181"/>
      <c r="I8" s="484"/>
      <c r="J8" s="2185"/>
      <c r="K8" s="2186"/>
      <c r="L8" s="2182" t="s">
        <v>186</v>
      </c>
      <c r="M8" s="2182" t="s">
        <v>535</v>
      </c>
      <c r="N8" s="484"/>
      <c r="O8" s="484"/>
      <c r="P8" s="484"/>
      <c r="Q8" s="484"/>
      <c r="R8" s="484"/>
      <c r="S8" s="484"/>
      <c r="T8" s="484"/>
      <c r="U8" s="484"/>
    </row>
    <row r="9" spans="1:21" ht="18" customHeight="1" x14ac:dyDescent="0.3">
      <c r="A9" s="484"/>
      <c r="B9" s="484"/>
      <c r="C9" s="484"/>
      <c r="D9" s="2171"/>
      <c r="E9" s="748" t="s">
        <v>25</v>
      </c>
      <c r="F9" s="2179" t="s">
        <v>959</v>
      </c>
      <c r="G9" s="2180"/>
      <c r="H9" s="2181"/>
      <c r="I9" s="484"/>
      <c r="J9" s="2187"/>
      <c r="K9" s="2188"/>
      <c r="L9" s="2183"/>
      <c r="M9" s="2183"/>
      <c r="N9" s="484"/>
      <c r="O9" s="484"/>
      <c r="P9" s="484"/>
      <c r="Q9" s="484"/>
      <c r="R9" s="484"/>
      <c r="S9" s="484"/>
      <c r="T9" s="484"/>
      <c r="U9" s="484"/>
    </row>
    <row r="10" spans="1:21" ht="18" customHeight="1" x14ac:dyDescent="0.3">
      <c r="A10" s="484"/>
      <c r="B10" s="484"/>
      <c r="C10" s="484"/>
      <c r="D10" s="2172"/>
      <c r="E10" s="1627" t="s">
        <v>730</v>
      </c>
      <c r="F10" s="517" t="s">
        <v>730</v>
      </c>
      <c r="G10" s="517" t="s">
        <v>731</v>
      </c>
      <c r="H10" s="517" t="s">
        <v>557</v>
      </c>
      <c r="I10" s="484"/>
      <c r="J10" s="2189"/>
      <c r="K10" s="2190"/>
      <c r="L10" s="2183"/>
      <c r="M10" s="2183"/>
      <c r="N10" s="484"/>
      <c r="O10" s="484"/>
      <c r="P10" s="484"/>
      <c r="Q10" s="484"/>
      <c r="R10" s="484"/>
      <c r="S10" s="484"/>
      <c r="T10" s="484"/>
      <c r="U10" s="484"/>
    </row>
    <row r="11" spans="1:21" ht="18" customHeight="1" x14ac:dyDescent="0.3">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4" t="s">
        <v>536</v>
      </c>
      <c r="K11" s="2184"/>
      <c r="L11" s="209">
        <v>2.5</v>
      </c>
      <c r="M11" s="209">
        <v>50</v>
      </c>
      <c r="N11" s="484"/>
      <c r="O11" s="484"/>
      <c r="P11" s="484"/>
      <c r="Q11" s="484"/>
      <c r="R11" s="484"/>
      <c r="S11" s="484"/>
      <c r="T11" s="484"/>
      <c r="U11" s="484"/>
    </row>
    <row r="12" spans="1:21" ht="18" customHeight="1" x14ac:dyDescent="0.3">
      <c r="A12" s="484"/>
      <c r="B12" s="484"/>
      <c r="C12" s="484"/>
      <c r="D12" s="1626" t="s">
        <v>177</v>
      </c>
      <c r="E12" s="209">
        <v>97.5</v>
      </c>
      <c r="F12" s="209">
        <v>50</v>
      </c>
      <c r="G12" s="209">
        <v>90</v>
      </c>
      <c r="H12" s="209">
        <v>70</v>
      </c>
      <c r="I12" s="484"/>
      <c r="J12" s="2184" t="s">
        <v>537</v>
      </c>
      <c r="K12" s="2184"/>
      <c r="L12" s="209">
        <v>27.5</v>
      </c>
      <c r="M12" s="209">
        <v>30</v>
      </c>
      <c r="N12" s="484"/>
      <c r="O12" s="484"/>
      <c r="P12" s="484"/>
      <c r="Q12" s="484"/>
      <c r="R12" s="484"/>
      <c r="S12" s="484"/>
      <c r="T12" s="484"/>
      <c r="U12" s="484"/>
    </row>
    <row r="13" spans="1:21" ht="18" customHeight="1" x14ac:dyDescent="0.3">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3">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3">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3">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3">
      <c r="A17" s="484"/>
      <c r="B17" s="484"/>
      <c r="C17" s="729"/>
      <c r="D17" s="2173" t="s">
        <v>191</v>
      </c>
      <c r="E17" s="514" t="s">
        <v>192</v>
      </c>
      <c r="F17" s="514" t="s">
        <v>999</v>
      </c>
      <c r="G17" s="484"/>
      <c r="H17" s="2175"/>
      <c r="I17" s="2175" t="s">
        <v>193</v>
      </c>
      <c r="J17" s="2164"/>
      <c r="K17" s="484"/>
      <c r="L17" s="2174" t="s">
        <v>744</v>
      </c>
      <c r="M17" s="2148"/>
      <c r="N17" s="484"/>
      <c r="O17" s="484"/>
      <c r="P17" s="484"/>
      <c r="Q17" s="484"/>
      <c r="R17" s="484"/>
      <c r="S17" s="484"/>
      <c r="T17" s="484"/>
      <c r="U17" s="484"/>
    </row>
    <row r="18" spans="1:21" ht="18" customHeight="1" x14ac:dyDescent="0.3">
      <c r="A18" s="484"/>
      <c r="B18" s="484"/>
      <c r="C18" s="729"/>
      <c r="D18" s="2164"/>
      <c r="E18" s="1712" t="s">
        <v>1062</v>
      </c>
      <c r="F18" s="1712" t="s">
        <v>998</v>
      </c>
      <c r="G18" s="484"/>
      <c r="H18" s="2164"/>
      <c r="I18" s="514" t="s">
        <v>189</v>
      </c>
      <c r="J18" s="717" t="s">
        <v>132</v>
      </c>
      <c r="K18" s="484"/>
      <c r="L18" s="2148"/>
      <c r="M18" s="2148"/>
      <c r="N18" s="484"/>
      <c r="O18" s="484"/>
      <c r="P18" s="484"/>
      <c r="Q18" s="484"/>
      <c r="R18" s="484"/>
      <c r="S18" s="484"/>
      <c r="T18" s="484"/>
      <c r="U18" s="484"/>
    </row>
    <row r="19" spans="1:21" ht="18" customHeight="1" x14ac:dyDescent="0.3">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3">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3">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3">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3">
      <c r="A23" s="484"/>
      <c r="B23" s="484"/>
      <c r="C23" s="484"/>
      <c r="D23" s="2176" t="s">
        <v>745</v>
      </c>
      <c r="E23" s="2177"/>
      <c r="F23" s="1584">
        <v>65</v>
      </c>
      <c r="G23" s="484"/>
      <c r="H23" s="484"/>
      <c r="I23" s="484"/>
      <c r="J23" s="484"/>
      <c r="K23" s="484"/>
      <c r="L23" s="484"/>
      <c r="M23" s="722"/>
      <c r="N23" s="720"/>
      <c r="O23" s="484"/>
      <c r="P23" s="484"/>
      <c r="Q23" s="484"/>
      <c r="R23" s="484"/>
      <c r="S23" s="484"/>
      <c r="T23" s="484"/>
      <c r="U23" s="484"/>
    </row>
    <row r="24" spans="1:21" ht="18" customHeight="1" x14ac:dyDescent="0.3">
      <c r="A24" s="484"/>
      <c r="B24" s="484"/>
      <c r="C24" s="484"/>
      <c r="D24" s="2176" t="s">
        <v>538</v>
      </c>
      <c r="E24" s="2177"/>
      <c r="F24" s="1584">
        <v>96.5</v>
      </c>
      <c r="G24" s="484"/>
      <c r="H24" s="484"/>
      <c r="I24" s="484"/>
      <c r="J24" s="484"/>
      <c r="K24" s="484"/>
      <c r="L24" s="484"/>
      <c r="M24" s="722"/>
      <c r="N24" s="720"/>
      <c r="O24" s="484"/>
      <c r="P24" s="484"/>
      <c r="Q24" s="484"/>
      <c r="R24" s="484"/>
      <c r="S24" s="484"/>
      <c r="T24" s="484"/>
      <c r="U24" s="484"/>
    </row>
    <row r="25" spans="1:21" ht="18" customHeight="1" x14ac:dyDescent="0.3">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3">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3">
      <c r="A27" s="484"/>
      <c r="B27" s="724"/>
      <c r="C27" s="2202"/>
      <c r="D27" s="2203"/>
      <c r="E27" s="2203"/>
      <c r="F27" s="340" t="s">
        <v>195</v>
      </c>
      <c r="G27" s="484"/>
      <c r="H27" s="2178" t="s">
        <v>539</v>
      </c>
      <c r="I27" s="2148"/>
      <c r="J27" s="2148"/>
      <c r="K27" s="484"/>
      <c r="L27" s="2201"/>
      <c r="M27" s="2164"/>
      <c r="N27" s="2164"/>
      <c r="O27" s="514" t="s">
        <v>289</v>
      </c>
      <c r="P27" s="484"/>
      <c r="Q27" s="484"/>
      <c r="R27" s="484"/>
      <c r="S27" s="484"/>
      <c r="T27" s="484"/>
      <c r="U27" s="484"/>
    </row>
    <row r="28" spans="1:21" ht="18" customHeight="1" x14ac:dyDescent="0.3">
      <c r="A28" s="484"/>
      <c r="B28" s="484"/>
      <c r="C28" s="2176" t="s">
        <v>746</v>
      </c>
      <c r="D28" s="2177"/>
      <c r="E28" s="2177"/>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3">
      <c r="A29" s="484"/>
      <c r="B29" s="484"/>
      <c r="C29" s="2176" t="s">
        <v>196</v>
      </c>
      <c r="D29" s="2177"/>
      <c r="E29" s="2177"/>
      <c r="F29" s="214">
        <v>20</v>
      </c>
      <c r="G29" s="484"/>
      <c r="H29" s="214">
        <v>50</v>
      </c>
      <c r="I29" s="214">
        <v>30</v>
      </c>
      <c r="J29" s="214">
        <v>10</v>
      </c>
      <c r="K29" s="484"/>
      <c r="L29" s="2191" t="s">
        <v>541</v>
      </c>
      <c r="M29" s="2192"/>
      <c r="N29" s="2192"/>
      <c r="O29" s="1585">
        <v>35</v>
      </c>
      <c r="P29" s="484"/>
      <c r="Q29" s="484"/>
      <c r="R29" s="484"/>
      <c r="S29" s="484"/>
      <c r="T29" s="484"/>
      <c r="U29" s="484"/>
    </row>
    <row r="30" spans="1:21" ht="18" customHeight="1" x14ac:dyDescent="0.3">
      <c r="A30" s="484"/>
      <c r="B30" s="484"/>
      <c r="C30" s="2176" t="s">
        <v>159</v>
      </c>
      <c r="D30" s="2177"/>
      <c r="E30" s="2177"/>
      <c r="F30" s="214">
        <v>90</v>
      </c>
      <c r="G30" s="484"/>
      <c r="H30" s="170"/>
      <c r="I30" s="213"/>
      <c r="J30" s="170"/>
      <c r="K30" s="484"/>
      <c r="L30" s="2191" t="s">
        <v>747</v>
      </c>
      <c r="M30" s="2192"/>
      <c r="N30" s="2192"/>
      <c r="O30" s="1586">
        <v>60</v>
      </c>
      <c r="P30" s="484"/>
      <c r="Q30" s="484"/>
      <c r="R30" s="484"/>
      <c r="S30" s="484"/>
      <c r="T30" s="484"/>
      <c r="U30" s="484"/>
    </row>
    <row r="31" spans="1:21" ht="18" customHeight="1" x14ac:dyDescent="0.3">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3">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3">
      <c r="A33" s="484"/>
      <c r="B33" s="2199"/>
      <c r="C33" s="2200"/>
      <c r="D33" s="2200"/>
      <c r="E33" s="2111" t="s">
        <v>198</v>
      </c>
      <c r="F33" s="2148"/>
      <c r="G33" s="2148"/>
      <c r="H33" s="2148"/>
      <c r="I33" s="2148"/>
      <c r="J33" s="2148"/>
      <c r="K33" s="2148"/>
      <c r="L33" s="2148"/>
      <c r="M33" s="2148"/>
      <c r="N33" s="2148"/>
      <c r="O33" s="484"/>
      <c r="P33" s="484"/>
      <c r="Q33" s="484"/>
      <c r="R33" s="484"/>
      <c r="S33" s="484"/>
      <c r="T33" s="484"/>
      <c r="U33" s="484"/>
    </row>
    <row r="34" spans="1:21" ht="18" customHeight="1" x14ac:dyDescent="0.3">
      <c r="A34" s="484"/>
      <c r="B34" s="2200"/>
      <c r="C34" s="2200"/>
      <c r="D34" s="2200"/>
      <c r="E34" s="2111" t="s">
        <v>25</v>
      </c>
      <c r="F34" s="2148"/>
      <c r="G34" s="2119" t="s">
        <v>49</v>
      </c>
      <c r="H34" s="2111" t="s">
        <v>475</v>
      </c>
      <c r="I34" s="2148"/>
      <c r="J34" s="2111" t="s">
        <v>476</v>
      </c>
      <c r="K34" s="2111" t="s">
        <v>52</v>
      </c>
      <c r="L34" s="2148"/>
      <c r="M34" s="2111" t="s">
        <v>477</v>
      </c>
      <c r="N34" s="2148"/>
      <c r="O34" s="484"/>
      <c r="P34" s="484"/>
      <c r="Q34" s="484"/>
      <c r="R34" s="484"/>
      <c r="S34" s="484"/>
      <c r="T34" s="484"/>
      <c r="U34" s="484"/>
    </row>
    <row r="35" spans="1:21" ht="18" customHeight="1" x14ac:dyDescent="0.3">
      <c r="A35" s="484"/>
      <c r="B35" s="2200"/>
      <c r="C35" s="2200"/>
      <c r="D35" s="2200"/>
      <c r="E35" s="499" t="s">
        <v>54</v>
      </c>
      <c r="F35" s="499" t="s">
        <v>479</v>
      </c>
      <c r="G35" s="2148"/>
      <c r="H35" s="499" t="s">
        <v>56</v>
      </c>
      <c r="I35" s="499" t="s">
        <v>57</v>
      </c>
      <c r="J35" s="2148"/>
      <c r="K35" s="499" t="s">
        <v>58</v>
      </c>
      <c r="L35" s="499" t="s">
        <v>510</v>
      </c>
      <c r="M35" s="499" t="s">
        <v>478</v>
      </c>
      <c r="N35" s="499" t="s">
        <v>509</v>
      </c>
      <c r="O35" s="484"/>
      <c r="P35" s="484"/>
      <c r="Q35" s="484"/>
      <c r="R35" s="484"/>
      <c r="S35" s="484"/>
      <c r="T35" s="484"/>
      <c r="U35" s="484"/>
    </row>
    <row r="36" spans="1:21" ht="18" customHeight="1" x14ac:dyDescent="0.3">
      <c r="A36" s="484"/>
      <c r="B36" s="2184" t="s">
        <v>480</v>
      </c>
      <c r="C36" s="2198"/>
      <c r="D36" s="2198"/>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3">
      <c r="A37" s="484"/>
      <c r="B37" s="2184" t="s">
        <v>748</v>
      </c>
      <c r="C37" s="2198"/>
      <c r="D37" s="2198"/>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3">
      <c r="A38" s="484"/>
      <c r="B38" s="2197" t="s">
        <v>831</v>
      </c>
      <c r="C38" s="2198"/>
      <c r="D38" s="2198"/>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3">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3">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3">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3">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3">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3">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3">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3">
      <c r="A46" s="484"/>
      <c r="B46" s="484"/>
      <c r="C46" s="484"/>
      <c r="D46" s="484"/>
      <c r="E46" s="484"/>
      <c r="F46" s="484"/>
      <c r="G46" s="484"/>
      <c r="H46" s="484"/>
      <c r="I46" s="484"/>
      <c r="J46" s="484"/>
      <c r="K46" s="484"/>
      <c r="L46" s="484"/>
      <c r="M46" s="484"/>
      <c r="N46" s="484"/>
      <c r="O46" s="484"/>
      <c r="P46" s="484"/>
      <c r="Q46" s="484"/>
    </row>
    <row r="47" spans="1:21" ht="14.25" customHeight="1" x14ac:dyDescent="0.3">
      <c r="A47" s="484"/>
      <c r="B47" s="484"/>
      <c r="C47" s="484"/>
      <c r="D47" s="484"/>
      <c r="E47" s="484"/>
      <c r="F47" s="484"/>
      <c r="G47" s="484"/>
      <c r="H47" s="484"/>
      <c r="I47" s="484"/>
      <c r="J47" s="484"/>
      <c r="K47" s="484"/>
      <c r="L47" s="484"/>
      <c r="M47" s="484"/>
      <c r="N47" s="484"/>
      <c r="O47" s="484"/>
      <c r="P47" s="484"/>
      <c r="Q47" s="484"/>
    </row>
    <row r="48" spans="1:21" ht="14.25" customHeight="1" x14ac:dyDescent="0.3">
      <c r="A48" s="484"/>
      <c r="B48" s="484"/>
      <c r="C48" s="484"/>
      <c r="D48" s="484"/>
      <c r="E48" s="484"/>
      <c r="F48" s="484"/>
      <c r="G48" s="484"/>
      <c r="H48" s="484"/>
      <c r="I48" s="484"/>
      <c r="J48" s="484"/>
      <c r="K48" s="484"/>
      <c r="L48" s="484"/>
      <c r="M48" s="484"/>
      <c r="N48" s="484"/>
      <c r="O48" s="484"/>
      <c r="P48" s="484"/>
      <c r="Q48" s="484"/>
    </row>
    <row r="49" spans="1:17" ht="14.25" customHeight="1" x14ac:dyDescent="0.3">
      <c r="A49" s="484"/>
      <c r="B49" s="484"/>
      <c r="C49" s="484"/>
      <c r="D49" s="484"/>
      <c r="E49" s="484"/>
      <c r="F49" s="484"/>
      <c r="G49" s="484"/>
      <c r="H49" s="484"/>
      <c r="I49" s="484"/>
      <c r="J49" s="484"/>
      <c r="K49" s="484"/>
      <c r="L49" s="484"/>
      <c r="M49" s="484"/>
      <c r="N49" s="484"/>
      <c r="O49" s="484"/>
      <c r="P49" s="484"/>
      <c r="Q49" s="484"/>
    </row>
    <row r="50" spans="1:17" ht="14.25" customHeight="1" x14ac:dyDescent="0.3">
      <c r="A50" s="484"/>
      <c r="B50" s="484"/>
      <c r="C50" s="484"/>
      <c r="D50" s="484"/>
      <c r="E50" s="484"/>
      <c r="F50" s="484"/>
      <c r="G50" s="484"/>
      <c r="H50" s="484"/>
      <c r="I50" s="484"/>
      <c r="J50" s="484"/>
      <c r="K50" s="484"/>
      <c r="L50" s="484"/>
      <c r="M50" s="484"/>
      <c r="N50" s="484"/>
      <c r="O50" s="484"/>
      <c r="P50" s="484"/>
      <c r="Q50" s="484"/>
    </row>
    <row r="51" spans="1:17" ht="14.25" customHeight="1" x14ac:dyDescent="0.3">
      <c r="A51" s="484"/>
      <c r="B51" s="484"/>
      <c r="C51" s="484"/>
      <c r="D51" s="484"/>
      <c r="E51" s="484"/>
      <c r="F51" s="484"/>
      <c r="G51" s="484"/>
      <c r="H51" s="484"/>
      <c r="I51" s="484"/>
      <c r="J51" s="484"/>
      <c r="K51" s="484"/>
      <c r="L51" s="484"/>
      <c r="M51" s="484"/>
      <c r="N51" s="484"/>
      <c r="O51" s="484"/>
      <c r="P51" s="484"/>
      <c r="Q51" s="484"/>
    </row>
    <row r="52" spans="1:17" ht="14.25" customHeight="1" x14ac:dyDescent="0.3">
      <c r="A52" s="484"/>
      <c r="B52" s="484"/>
      <c r="C52" s="484"/>
      <c r="D52" s="484"/>
      <c r="E52" s="484"/>
      <c r="F52" s="484"/>
      <c r="G52" s="484"/>
      <c r="H52" s="484"/>
      <c r="I52" s="484"/>
      <c r="J52" s="484"/>
      <c r="K52" s="484"/>
      <c r="L52" s="484"/>
      <c r="M52" s="484"/>
      <c r="N52" s="484"/>
      <c r="O52" s="484"/>
      <c r="P52" s="484"/>
      <c r="Q52" s="484"/>
    </row>
    <row r="53" spans="1:17" ht="14.25" customHeight="1" x14ac:dyDescent="0.3"/>
    <row r="54" spans="1:17" ht="14.25" customHeight="1" x14ac:dyDescent="0.3"/>
    <row r="55" spans="1:17" ht="14.25" customHeight="1" x14ac:dyDescent="0.3"/>
    <row r="56" spans="1:17" ht="14.25" customHeight="1" x14ac:dyDescent="0.3"/>
    <row r="57" spans="1:17" ht="14.25" customHeight="1" x14ac:dyDescent="0.3"/>
    <row r="58" spans="1:17" ht="14.25" customHeight="1" x14ac:dyDescent="0.3"/>
    <row r="59" spans="1:17" ht="14.25" customHeight="1" x14ac:dyDescent="0.3"/>
    <row r="60" spans="1:17" ht="14.25" customHeight="1" x14ac:dyDescent="0.3"/>
    <row r="61" spans="1:17" ht="14.25" customHeight="1" x14ac:dyDescent="0.3"/>
    <row r="62" spans="1:17" ht="14.25" customHeight="1" x14ac:dyDescent="0.3"/>
    <row r="63" spans="1:17" ht="14.25" customHeight="1" x14ac:dyDescent="0.3"/>
    <row r="64" spans="1:17"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4140625" defaultRowHeight="15" customHeight="1" x14ac:dyDescent="0.3"/>
  <cols>
    <col min="1" max="1" width="1.44140625" customWidth="1"/>
    <col min="2" max="2" width="1" customWidth="1"/>
    <col min="3" max="3" width="8.44140625" customWidth="1"/>
    <col min="4" max="4" width="0.44140625" customWidth="1"/>
    <col min="5" max="5" width="1.88671875" customWidth="1"/>
    <col min="6" max="6" width="8.44140625" customWidth="1"/>
    <col min="7" max="7" width="3.44140625" customWidth="1"/>
    <col min="8" max="8" width="5.6640625" customWidth="1"/>
    <col min="9" max="9" width="4.33203125" customWidth="1"/>
    <col min="10" max="10" width="4.6640625" customWidth="1"/>
    <col min="11" max="11" width="0.44140625" customWidth="1"/>
    <col min="12" max="12" width="1.44140625" customWidth="1"/>
    <col min="13" max="13" width="3" customWidth="1"/>
    <col min="14" max="14" width="8.33203125" customWidth="1"/>
    <col min="15" max="15" width="1.44140625" customWidth="1"/>
    <col min="16" max="16" width="0.44140625" customWidth="1"/>
    <col min="17" max="17" width="6.33203125" customWidth="1"/>
    <col min="18" max="18" width="4.44140625" customWidth="1"/>
    <col min="19" max="19" width="0.6640625" customWidth="1"/>
    <col min="20" max="20" width="8.6640625" customWidth="1"/>
    <col min="21" max="21" width="0.6640625" customWidth="1"/>
    <col min="22" max="22" width="3.44140625" customWidth="1"/>
    <col min="23" max="23" width="4.6640625" customWidth="1"/>
    <col min="24" max="24" width="1.6640625" customWidth="1"/>
    <col min="25" max="25" width="4.44140625" customWidth="1"/>
    <col min="26" max="26" width="5" customWidth="1"/>
    <col min="27" max="27" width="4.33203125" customWidth="1"/>
    <col min="28" max="28" width="4" customWidth="1"/>
    <col min="29" max="29" width="2.44140625" customWidth="1"/>
    <col min="30" max="30" width="3.44140625" customWidth="1"/>
    <col min="31" max="31" width="5.33203125" customWidth="1"/>
    <col min="32" max="32" width="5.6640625" customWidth="1"/>
    <col min="33" max="33" width="2.44140625" customWidth="1"/>
    <col min="34" max="34" width="1.44140625" customWidth="1"/>
    <col min="35" max="35" width="2.44140625" customWidth="1"/>
    <col min="36" max="36" width="1.44140625" customWidth="1"/>
    <col min="37" max="37" width="6.6640625" customWidth="1"/>
    <col min="38" max="38" width="4" customWidth="1"/>
    <col min="39" max="39" width="5" customWidth="1"/>
    <col min="40" max="40" width="1.44140625" customWidth="1"/>
    <col min="41" max="41" width="12.33203125" customWidth="1"/>
    <col min="42" max="42" width="3.44140625" customWidth="1"/>
    <col min="43" max="43" width="11.6640625" customWidth="1"/>
    <col min="44" max="44" width="2.88671875" customWidth="1"/>
    <col min="45" max="45" width="10.33203125" customWidth="1"/>
    <col min="46" max="46" width="1.44140625" customWidth="1"/>
    <col min="47" max="53" width="8.44140625" customWidth="1"/>
  </cols>
  <sheetData>
    <row r="1" spans="2:69" s="164" customFormat="1" ht="24" customHeight="1" thickTop="1" x14ac:dyDescent="0.3">
      <c r="B1" s="2233" t="s">
        <v>834</v>
      </c>
      <c r="C1" s="2234"/>
      <c r="D1" s="2234"/>
      <c r="E1" s="2234"/>
      <c r="F1" s="2234"/>
      <c r="G1" s="2234"/>
      <c r="H1" s="2234"/>
      <c r="I1" s="2234"/>
      <c r="J1" s="2234"/>
      <c r="K1" s="2234"/>
      <c r="L1" s="2234"/>
      <c r="M1" s="2234"/>
      <c r="N1" s="2234"/>
      <c r="O1" s="2234"/>
      <c r="P1" s="2235"/>
      <c r="Q1" s="2235"/>
      <c r="R1" s="2219" t="s">
        <v>199</v>
      </c>
      <c r="S1" s="2220"/>
      <c r="T1" s="2220"/>
      <c r="U1" s="2220"/>
      <c r="V1" s="2226" t="str">
        <f>IF('R-Entrada'!D3&lt;&gt;0,'R-Entrada'!D3,"")</f>
        <v>Biodigestão c/ Prod. E. Elétrica</v>
      </c>
      <c r="W1" s="2227"/>
      <c r="X1" s="2227"/>
      <c r="Y1" s="2227"/>
      <c r="Z1" s="2227"/>
      <c r="AA1" s="2227"/>
      <c r="AB1" s="2228"/>
      <c r="AC1" s="2219" t="s">
        <v>4</v>
      </c>
      <c r="AD1" s="2220"/>
      <c r="AE1" s="2220"/>
      <c r="AF1" s="2220"/>
      <c r="AG1" s="2226" t="str">
        <f>IF('R-Entrada'!D2&lt;&gt;0,'R-Entrada'!D2,"")</f>
        <v>CIRSOP - Consórcio RSU Oeste Paulista</v>
      </c>
      <c r="AH1" s="2227"/>
      <c r="AI1" s="2227"/>
      <c r="AJ1" s="2227"/>
      <c r="AK1" s="2227"/>
      <c r="AL1" s="2227"/>
      <c r="AM1" s="2227"/>
      <c r="AN1" s="2227"/>
      <c r="AO1" s="2227"/>
      <c r="AP1" s="2227"/>
      <c r="AQ1" s="2227"/>
      <c r="AR1" s="2228"/>
      <c r="AS1" s="1026" t="s">
        <v>828</v>
      </c>
      <c r="AT1" s="1023"/>
      <c r="AV1" s="165"/>
    </row>
    <row r="2" spans="2:69" s="164" customFormat="1" ht="3" customHeight="1" x14ac:dyDescent="0.3">
      <c r="B2" s="2229"/>
      <c r="C2" s="2205"/>
      <c r="D2" s="2205"/>
      <c r="E2" s="2205"/>
      <c r="F2" s="2205"/>
      <c r="G2" s="2205"/>
      <c r="H2" s="2205"/>
      <c r="I2" s="2206"/>
      <c r="J2" s="166"/>
      <c r="K2" s="2223"/>
      <c r="L2" s="2205"/>
      <c r="M2" s="2205"/>
      <c r="N2" s="2205"/>
      <c r="O2" s="2205"/>
      <c r="P2" s="2205"/>
      <c r="Q2" s="2205"/>
      <c r="R2" s="2205"/>
      <c r="S2" s="2205"/>
      <c r="T2" s="2205"/>
      <c r="U2" s="2205"/>
      <c r="V2" s="2205"/>
      <c r="W2" s="2205"/>
      <c r="X2" s="2205"/>
      <c r="Y2" s="2205"/>
      <c r="Z2" s="2205"/>
      <c r="AA2" s="2205"/>
      <c r="AB2" s="2205"/>
      <c r="AC2" s="2205"/>
      <c r="AD2" s="2205"/>
      <c r="AE2" s="2205"/>
      <c r="AF2" s="2205"/>
      <c r="AG2" s="2205"/>
      <c r="AH2" s="2205"/>
      <c r="AI2" s="2205"/>
      <c r="AJ2" s="2206"/>
      <c r="AK2" s="2223"/>
      <c r="AL2" s="2205"/>
      <c r="AM2" s="2205"/>
      <c r="AN2" s="2205"/>
      <c r="AO2" s="2205"/>
      <c r="AP2" s="2205"/>
      <c r="AQ2" s="2205"/>
      <c r="AR2" s="2205"/>
      <c r="AS2" s="2205"/>
      <c r="AT2" s="2224"/>
      <c r="AU2" s="165"/>
    </row>
    <row r="3" spans="2:69" s="164" customFormat="1" ht="16.95" customHeight="1" x14ac:dyDescent="0.3">
      <c r="B3" s="167"/>
      <c r="C3" s="158">
        <f>'R-Entrada'!E14</f>
        <v>250</v>
      </c>
      <c r="D3" s="168"/>
      <c r="E3" s="2225" t="s">
        <v>200</v>
      </c>
      <c r="F3" s="2205"/>
      <c r="G3" s="2205"/>
      <c r="H3" s="2206"/>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5" customHeight="1" x14ac:dyDescent="0.3">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95" customHeight="1" x14ac:dyDescent="0.3">
      <c r="B5" s="171"/>
      <c r="C5" s="158">
        <f>'R-Entrada'!E44</f>
        <v>0</v>
      </c>
      <c r="D5" s="166"/>
      <c r="E5" s="2225" t="s">
        <v>201</v>
      </c>
      <c r="F5" s="2205"/>
      <c r="G5" s="2205"/>
      <c r="H5" s="2206"/>
      <c r="I5" s="166"/>
      <c r="J5" s="166"/>
      <c r="K5" s="166"/>
      <c r="L5" s="166"/>
      <c r="M5" s="166"/>
      <c r="N5" s="166"/>
      <c r="O5" s="166"/>
      <c r="P5" s="166"/>
      <c r="Q5" s="166"/>
      <c r="R5" s="166"/>
      <c r="S5" s="166"/>
      <c r="T5" s="166"/>
      <c r="U5" s="166"/>
      <c r="V5" s="166"/>
      <c r="W5" s="166"/>
      <c r="X5" s="166"/>
      <c r="Y5" s="166"/>
      <c r="Z5" s="166"/>
      <c r="AA5" s="166"/>
      <c r="AB5" s="2230" t="s">
        <v>473</v>
      </c>
      <c r="AC5" s="2152"/>
      <c r="AD5" s="2152"/>
      <c r="AE5" s="2152"/>
      <c r="AF5" s="2152"/>
      <c r="AG5" s="2152"/>
      <c r="AH5" s="2152"/>
      <c r="AI5" s="2152"/>
      <c r="AJ5" s="2152"/>
      <c r="AK5" s="2152"/>
      <c r="AL5" s="166"/>
      <c r="AM5" s="166"/>
      <c r="AN5" s="166"/>
      <c r="AO5" s="166"/>
      <c r="AP5" s="166"/>
      <c r="AQ5" s="166"/>
      <c r="AR5" s="166"/>
      <c r="AS5" s="166"/>
      <c r="AT5" s="172"/>
      <c r="AU5" s="165"/>
      <c r="AV5" s="170"/>
      <c r="AW5" s="170"/>
      <c r="AX5" s="170"/>
      <c r="AY5" s="170"/>
      <c r="AZ5" s="170"/>
      <c r="BA5" s="170"/>
    </row>
    <row r="6" spans="2:69" s="164" customFormat="1" ht="1.95" customHeight="1" x14ac:dyDescent="0.3">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95" customHeight="1" x14ac:dyDescent="0.3">
      <c r="B7" s="171"/>
      <c r="C7" s="158">
        <f>'R-Entrada'!E45</f>
        <v>0</v>
      </c>
      <c r="D7" s="166"/>
      <c r="E7" s="2225" t="s">
        <v>59</v>
      </c>
      <c r="F7" s="2205"/>
      <c r="G7" s="2205"/>
      <c r="H7" s="2206"/>
      <c r="I7" s="166"/>
      <c r="J7" s="166"/>
      <c r="K7" s="166"/>
      <c r="L7" s="166"/>
      <c r="M7" s="166"/>
      <c r="N7" s="166"/>
      <c r="O7" s="166"/>
      <c r="P7" s="166"/>
      <c r="Q7" s="166"/>
      <c r="R7" s="166"/>
      <c r="S7" s="166"/>
      <c r="T7" s="166"/>
      <c r="U7" s="166"/>
      <c r="V7" s="166"/>
      <c r="W7" s="166"/>
      <c r="X7" s="166"/>
      <c r="Y7" s="166"/>
      <c r="Z7" s="166"/>
      <c r="AA7" s="166"/>
      <c r="AB7" s="2231" t="str">
        <f>Apresentação!I2</f>
        <v>RC-RSU V.1.0 - 15/10/2020</v>
      </c>
      <c r="AC7" s="2232"/>
      <c r="AD7" s="2232"/>
      <c r="AE7" s="2232"/>
      <c r="AF7" s="2232"/>
      <c r="AG7" s="2232"/>
      <c r="AH7" s="2232"/>
      <c r="AI7" s="2232"/>
      <c r="AJ7" s="2232"/>
      <c r="AK7" s="2232"/>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2" customHeight="1" x14ac:dyDescent="0.3">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95" customHeight="1" x14ac:dyDescent="0.3">
      <c r="B9" s="171"/>
      <c r="C9" s="158">
        <f>'R-Entrada'!E46</f>
        <v>250</v>
      </c>
      <c r="D9" s="166"/>
      <c r="E9" s="2225" t="s">
        <v>202</v>
      </c>
      <c r="F9" s="2205"/>
      <c r="G9" s="2205"/>
      <c r="H9" s="2206"/>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5" customHeight="1" x14ac:dyDescent="0.3">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95" customHeight="1" x14ac:dyDescent="0.3">
      <c r="B11" s="171"/>
      <c r="C11" s="158">
        <f>'R-Entrada'!E47</f>
        <v>250</v>
      </c>
      <c r="D11" s="166"/>
      <c r="E11" s="2221" t="s">
        <v>835</v>
      </c>
      <c r="F11" s="2222"/>
      <c r="G11" s="2222"/>
      <c r="H11" s="2222"/>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4" t="s">
        <v>203</v>
      </c>
      <c r="AP11" s="159"/>
      <c r="AQ11" s="2214" t="s">
        <v>204</v>
      </c>
      <c r="AR11" s="159"/>
      <c r="AS11" s="2214"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2" customHeight="1" x14ac:dyDescent="0.3">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17"/>
      <c r="AP12" s="159"/>
      <c r="AQ12" s="2215"/>
      <c r="AR12" s="159"/>
      <c r="AS12" s="2215"/>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5" customHeight="1" x14ac:dyDescent="0.3">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18"/>
      <c r="AP13" s="159"/>
      <c r="AQ13" s="2216"/>
      <c r="AR13" s="159"/>
      <c r="AS13" s="2216"/>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2" customHeight="1" x14ac:dyDescent="0.3">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95" customHeight="1" x14ac:dyDescent="0.3">
      <c r="B15" s="171"/>
      <c r="C15" s="160"/>
      <c r="D15" s="166"/>
      <c r="E15" s="166"/>
      <c r="F15" s="158">
        <f>'R-Resumo Bal. Massa'!D19</f>
        <v>0</v>
      </c>
      <c r="G15" s="166"/>
      <c r="H15" s="166"/>
      <c r="I15" s="2239" t="s">
        <v>832</v>
      </c>
      <c r="J15" s="2205"/>
      <c r="K15" s="2205"/>
      <c r="L15" s="2205"/>
      <c r="M15" s="2205"/>
      <c r="N15" s="2205"/>
      <c r="O15" s="220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5" customHeight="1" x14ac:dyDescent="0.3">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95" customHeight="1" x14ac:dyDescent="0.3">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3">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95" customHeight="1" x14ac:dyDescent="0.3">
      <c r="B19" s="171"/>
      <c r="C19" s="160"/>
      <c r="D19" s="166"/>
      <c r="E19" s="166"/>
      <c r="F19" s="158">
        <f>'R-Resumo Bal. Massa'!D20</f>
        <v>0</v>
      </c>
      <c r="G19" s="166"/>
      <c r="H19" s="166"/>
      <c r="I19" s="166"/>
      <c r="J19" s="166"/>
      <c r="K19" s="166"/>
      <c r="L19" s="2239" t="s">
        <v>833</v>
      </c>
      <c r="M19" s="2205"/>
      <c r="N19" s="2205"/>
      <c r="O19" s="2205"/>
      <c r="P19" s="2205"/>
      <c r="Q19" s="2205"/>
      <c r="R19" s="2206"/>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2" customHeight="1" x14ac:dyDescent="0.3">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95" customHeight="1" x14ac:dyDescent="0.3">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2" customHeight="1" x14ac:dyDescent="0.3">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95" customHeight="1" x14ac:dyDescent="0.3">
      <c r="B23" s="171"/>
      <c r="C23" s="160"/>
      <c r="D23" s="166"/>
      <c r="E23" s="166"/>
      <c r="F23" s="158">
        <f>'R-Resumo Bal. Massa'!D21</f>
        <v>250</v>
      </c>
      <c r="G23" s="166"/>
      <c r="H23" s="166"/>
      <c r="I23" s="166"/>
      <c r="J23" s="166"/>
      <c r="K23" s="166"/>
      <c r="L23" s="166"/>
      <c r="M23" s="166"/>
      <c r="N23" s="166"/>
      <c r="O23" s="166"/>
      <c r="P23" s="166"/>
      <c r="Q23" s="2239" t="s">
        <v>836</v>
      </c>
      <c r="R23" s="2205"/>
      <c r="S23" s="2205"/>
      <c r="T23" s="2205"/>
      <c r="U23" s="2205"/>
      <c r="V23" s="2205"/>
      <c r="W23" s="2206"/>
      <c r="X23" s="166"/>
      <c r="Y23" s="166"/>
      <c r="Z23" s="166"/>
      <c r="AA23" s="166"/>
      <c r="AB23" s="166"/>
      <c r="AC23" s="166"/>
      <c r="AD23" s="166"/>
      <c r="AE23" s="166"/>
      <c r="AF23" s="166"/>
      <c r="AG23" s="166"/>
      <c r="AH23" s="166"/>
      <c r="AI23" s="166"/>
      <c r="AJ23" s="166"/>
      <c r="AK23" s="166"/>
      <c r="AL23" s="166"/>
      <c r="AM23" s="166"/>
      <c r="AN23" s="159"/>
      <c r="AO23" s="158">
        <f>'R-Resumo Bal. Massa'!G64</f>
        <v>19.9375</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2" customHeight="1" x14ac:dyDescent="0.3">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95" customHeight="1" x14ac:dyDescent="0.3">
      <c r="B25" s="171"/>
      <c r="C25" s="160"/>
      <c r="D25" s="166"/>
      <c r="E25" s="166"/>
      <c r="F25" s="166"/>
      <c r="G25" s="166"/>
      <c r="H25" s="166"/>
      <c r="I25" s="166"/>
      <c r="J25" s="2240">
        <f>F15+F19+F23-AO15-AO19-AO23-AS17-AS21-AS25-S25</f>
        <v>94.5</v>
      </c>
      <c r="K25" s="2238"/>
      <c r="L25" s="2238"/>
      <c r="M25" s="2210"/>
      <c r="N25" s="166"/>
      <c r="O25" s="166"/>
      <c r="P25" s="166"/>
      <c r="Q25" s="166"/>
      <c r="R25" s="166"/>
      <c r="S25" s="2209">
        <f>IF('R-Definição'!I29&lt;&gt;"Aterro sanitário",'R-Resumo Bal. Massa'!F22,0)</f>
        <v>109.22499999999999</v>
      </c>
      <c r="T25" s="2210"/>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26.337500000000006</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5" customHeight="1" x14ac:dyDescent="0.3">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95" customHeight="1" x14ac:dyDescent="0.3">
      <c r="B27" s="171"/>
      <c r="C27" s="166"/>
      <c r="D27" s="166"/>
      <c r="E27" s="166"/>
      <c r="F27" s="179"/>
      <c r="G27" s="166"/>
      <c r="H27" s="166"/>
      <c r="I27" s="166"/>
      <c r="J27" s="166"/>
      <c r="K27" s="166"/>
      <c r="L27" s="166"/>
      <c r="M27" s="166"/>
      <c r="N27" s="158">
        <f>'R-Resumo Bal. Massa'!D29-'R-Resumo Bal. Massa'!D28</f>
        <v>94.5</v>
      </c>
      <c r="O27" s="166"/>
      <c r="P27" s="166"/>
      <c r="Q27" s="166"/>
      <c r="R27" s="166"/>
      <c r="S27" s="166"/>
      <c r="T27" s="166"/>
      <c r="U27" s="166"/>
      <c r="V27" s="2209">
        <f>'R-Resumo Bal. Massa'!B25</f>
        <v>94.5</v>
      </c>
      <c r="W27" s="2210"/>
      <c r="X27" s="166"/>
      <c r="Y27" s="2204" t="s">
        <v>100</v>
      </c>
      <c r="Z27" s="2205"/>
      <c r="AA27" s="2205"/>
      <c r="AB27" s="2206"/>
      <c r="AC27" s="166"/>
      <c r="AD27" s="166"/>
      <c r="AE27" s="166"/>
      <c r="AF27" s="166"/>
      <c r="AG27" s="166"/>
      <c r="AH27" s="166"/>
      <c r="AI27" s="166"/>
      <c r="AJ27" s="166"/>
      <c r="AK27" s="166"/>
      <c r="AL27" s="166"/>
      <c r="AM27" s="166"/>
      <c r="AN27" s="159"/>
      <c r="AO27" s="158">
        <f>'R-Resumo Bal. Massa'!E29</f>
        <v>44.887500000000003</v>
      </c>
      <c r="AP27" s="159"/>
      <c r="AQ27" s="159"/>
      <c r="AR27" s="159"/>
      <c r="AS27" s="159"/>
      <c r="AT27" s="172"/>
      <c r="AU27" s="165"/>
      <c r="AW27" s="180"/>
    </row>
    <row r="28" spans="2:69" s="164" customFormat="1" ht="3" customHeight="1" x14ac:dyDescent="0.3">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95" customHeight="1" x14ac:dyDescent="0.3">
      <c r="B29" s="171"/>
      <c r="C29" s="166"/>
      <c r="D29" s="166"/>
      <c r="E29" s="166"/>
      <c r="F29" s="159"/>
      <c r="G29" s="166"/>
      <c r="H29" s="166"/>
      <c r="I29" s="166"/>
      <c r="J29" s="166"/>
      <c r="K29" s="166"/>
      <c r="L29" s="166"/>
      <c r="M29" s="166"/>
      <c r="N29" s="166"/>
      <c r="O29" s="166"/>
      <c r="P29" s="166"/>
      <c r="Q29" s="166"/>
      <c r="R29" s="166"/>
      <c r="S29" s="2209">
        <f>'R-Definição'!E59</f>
        <v>109.22499999999999</v>
      </c>
      <c r="T29" s="2210"/>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2.3624999999999998</v>
      </c>
      <c r="AR29" s="159"/>
      <c r="AS29" s="159"/>
      <c r="AT29" s="172"/>
      <c r="AU29" s="165"/>
    </row>
    <row r="30" spans="2:69" s="164" customFormat="1" ht="6" customHeight="1" x14ac:dyDescent="0.3">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95" customHeight="1" x14ac:dyDescent="0.3">
      <c r="B31" s="171"/>
      <c r="C31" s="166"/>
      <c r="D31" s="166"/>
      <c r="E31" s="166"/>
      <c r="F31" s="166"/>
      <c r="G31" s="166"/>
      <c r="H31" s="166"/>
      <c r="I31" s="166"/>
      <c r="J31" s="2209">
        <f>SUM('R-Resumo Bal. Massa'!D40:D42)</f>
        <v>0</v>
      </c>
      <c r="K31" s="2238"/>
      <c r="L31" s="2238"/>
      <c r="M31" s="2210"/>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47.25</v>
      </c>
      <c r="AT31" s="172"/>
      <c r="AU31" s="165"/>
      <c r="AV31" s="180"/>
    </row>
    <row r="32" spans="2:69" s="164" customFormat="1" ht="4.2" customHeight="1" x14ac:dyDescent="0.3">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95" customHeight="1" x14ac:dyDescent="0.3">
      <c r="B33" s="171"/>
      <c r="C33" s="166"/>
      <c r="D33" s="166"/>
      <c r="E33" s="166"/>
      <c r="F33" s="158">
        <f>'R-Resumo Bal. Massa'!D14</f>
        <v>0</v>
      </c>
      <c r="G33" s="166"/>
      <c r="H33" s="166"/>
      <c r="I33" s="166"/>
      <c r="J33" s="166"/>
      <c r="K33" s="166"/>
      <c r="L33" s="166"/>
      <c r="M33" s="166"/>
      <c r="N33" s="166"/>
      <c r="O33" s="166"/>
      <c r="P33" s="166"/>
      <c r="Q33" s="166"/>
      <c r="R33" s="166"/>
      <c r="S33" s="2209">
        <f>'R-Resumo Bal. Massa'!D36</f>
        <v>109.22499999999999</v>
      </c>
      <c r="T33" s="2210"/>
      <c r="U33" s="166"/>
      <c r="V33" s="166"/>
      <c r="W33" s="166"/>
      <c r="X33" s="166"/>
      <c r="Y33" s="2209">
        <f>'R-Definição'!E60*'R-Definição'!J59/100</f>
        <v>0</v>
      </c>
      <c r="Z33" s="2210"/>
      <c r="AA33" s="166"/>
      <c r="AB33" s="2211" t="s">
        <v>115</v>
      </c>
      <c r="AC33" s="2212"/>
      <c r="AD33" s="2212"/>
      <c r="AE33" s="2212"/>
      <c r="AF33" s="2213"/>
      <c r="AG33" s="166"/>
      <c r="AH33" s="166"/>
      <c r="AI33" s="166"/>
      <c r="AJ33" s="166"/>
      <c r="AK33" s="166"/>
      <c r="AL33" s="166"/>
      <c r="AM33" s="166"/>
      <c r="AN33" s="159"/>
      <c r="AO33" s="159"/>
      <c r="AP33" s="159"/>
      <c r="AQ33" s="158">
        <f>'R-Definição'!O62*'R-Definição'!F63</f>
        <v>0</v>
      </c>
      <c r="AR33" s="159"/>
      <c r="AS33" s="159"/>
      <c r="AT33" s="172"/>
      <c r="AU33" s="165"/>
      <c r="AV33" s="181"/>
      <c r="AW33" s="182"/>
      <c r="AX33" s="181"/>
      <c r="AY33" s="182"/>
    </row>
    <row r="34" spans="2:53" s="164" customFormat="1" ht="7.2" customHeight="1" x14ac:dyDescent="0.3">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5" customHeight="1" x14ac:dyDescent="0.3">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09">
        <f>'R-Definição'!J68</f>
        <v>0</v>
      </c>
      <c r="AE35" s="2210"/>
      <c r="AF35" s="166"/>
      <c r="AG35" s="166"/>
      <c r="AH35" s="166"/>
      <c r="AI35" s="166"/>
      <c r="AJ35" s="166"/>
      <c r="AK35" s="166"/>
      <c r="AL35" s="166"/>
      <c r="AM35" s="166"/>
      <c r="AN35" s="159"/>
      <c r="AO35" s="159"/>
      <c r="AP35" s="159"/>
      <c r="AQ35" s="159"/>
      <c r="AR35" s="159"/>
      <c r="AS35" s="159"/>
      <c r="AT35" s="172"/>
      <c r="AU35" s="165"/>
      <c r="AV35" s="180"/>
      <c r="AW35" s="183"/>
    </row>
    <row r="36" spans="2:53" s="164" customFormat="1" ht="7.2" customHeight="1" x14ac:dyDescent="0.3">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3">
      <c r="B37" s="171"/>
      <c r="C37" s="166"/>
      <c r="D37" s="166"/>
      <c r="E37" s="166"/>
      <c r="F37" s="166"/>
      <c r="G37" s="166"/>
      <c r="H37" s="166"/>
      <c r="I37" s="166"/>
      <c r="J37" s="166"/>
      <c r="K37" s="166"/>
      <c r="L37" s="166"/>
      <c r="M37" s="166"/>
      <c r="N37" s="166"/>
      <c r="O37" s="166"/>
      <c r="P37" s="184"/>
      <c r="Q37" s="166"/>
      <c r="R37" s="166"/>
      <c r="S37" s="2209">
        <f>'R-Resumo Bal. Massa'!D35</f>
        <v>109.22499999999999</v>
      </c>
      <c r="T37" s="2210"/>
      <c r="U37" s="166"/>
      <c r="V37" s="166"/>
      <c r="W37" s="166"/>
      <c r="X37" s="166"/>
      <c r="Y37" s="166"/>
      <c r="Z37" s="166"/>
      <c r="AA37" s="166"/>
      <c r="AB37" s="166"/>
      <c r="AC37" s="166"/>
      <c r="AD37" s="2204" t="s">
        <v>132</v>
      </c>
      <c r="AE37" s="2205"/>
      <c r="AF37" s="2205"/>
      <c r="AG37" s="2206"/>
      <c r="AH37" s="166"/>
      <c r="AI37" s="166"/>
      <c r="AJ37" s="166"/>
      <c r="AK37" s="166"/>
      <c r="AL37" s="166"/>
      <c r="AM37" s="166"/>
      <c r="AN37" s="159"/>
      <c r="AO37" s="158">
        <f>'R-Resumo Bal. Massa'!F36-'R-Resumo Bal. Massa'!F33</f>
        <v>49.15124999999999</v>
      </c>
      <c r="AP37" s="159"/>
      <c r="AQ37" s="159"/>
      <c r="AR37" s="159"/>
      <c r="AS37" s="159"/>
      <c r="AT37" s="172"/>
      <c r="AU37" s="165"/>
      <c r="AV37" s="181"/>
      <c r="AW37" s="182"/>
    </row>
    <row r="38" spans="2:53" s="164" customFormat="1" ht="7.2" customHeight="1" x14ac:dyDescent="0.3">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95" customHeight="1" x14ac:dyDescent="0.3">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32.767499999999998</v>
      </c>
      <c r="AR39" s="159"/>
      <c r="AS39" s="159"/>
      <c r="AT39" s="172"/>
      <c r="AU39" s="165"/>
      <c r="AV39" s="181"/>
      <c r="AW39" s="182"/>
    </row>
    <row r="40" spans="2:53" s="164" customFormat="1" ht="7.2" customHeight="1" x14ac:dyDescent="0.3">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95" customHeight="1" x14ac:dyDescent="0.3">
      <c r="B41" s="171"/>
      <c r="C41" s="166"/>
      <c r="D41" s="166"/>
      <c r="E41" s="166"/>
      <c r="F41" s="166"/>
      <c r="G41" s="166"/>
      <c r="H41" s="166"/>
      <c r="I41" s="166"/>
      <c r="J41" s="166"/>
      <c r="K41" s="166"/>
      <c r="L41" s="166"/>
      <c r="M41" s="166"/>
      <c r="N41" s="166"/>
      <c r="O41" s="166"/>
      <c r="P41" s="166"/>
      <c r="Q41" s="166"/>
      <c r="R41" s="166"/>
      <c r="S41" s="166"/>
      <c r="T41" s="2209">
        <f>'R-Resumo Bal. Massa'!D43</f>
        <v>0</v>
      </c>
      <c r="U41" s="2210"/>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27.306249999999999</v>
      </c>
      <c r="AT41" s="172"/>
      <c r="AV41" s="185"/>
      <c r="AW41" s="182"/>
      <c r="AX41" s="181"/>
      <c r="AY41" s="182"/>
      <c r="AZ41" s="181"/>
      <c r="BA41" s="182"/>
    </row>
    <row r="42" spans="2:53" s="164" customFormat="1" ht="4.2" customHeight="1" x14ac:dyDescent="0.3">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95" customHeight="1" x14ac:dyDescent="0.3">
      <c r="B43" s="171"/>
      <c r="C43" s="166"/>
      <c r="D43" s="166"/>
      <c r="E43" s="166"/>
      <c r="F43" s="158">
        <f>'R-Resumo Bal. Massa'!D39</f>
        <v>0</v>
      </c>
      <c r="G43" s="166"/>
      <c r="H43" s="166"/>
      <c r="I43" s="166"/>
      <c r="J43" s="2209">
        <f>SUM('R-Resumo Bal. Massa'!D39:D42)</f>
        <v>0</v>
      </c>
      <c r="K43" s="2238"/>
      <c r="L43" s="2238"/>
      <c r="M43" s="2210"/>
      <c r="N43" s="166"/>
      <c r="O43" s="166"/>
      <c r="P43" s="166"/>
      <c r="Q43" s="166"/>
      <c r="R43" s="166"/>
      <c r="S43" s="166"/>
      <c r="T43" s="2209">
        <f>'R-Resumo Bal. Massa'!D44</f>
        <v>0</v>
      </c>
      <c r="U43" s="2210"/>
      <c r="V43" s="166"/>
      <c r="W43" s="166"/>
      <c r="X43" s="166"/>
      <c r="Y43" s="166"/>
      <c r="Z43" s="166"/>
      <c r="AA43" s="166"/>
      <c r="AB43" s="166"/>
      <c r="AC43" s="166"/>
      <c r="AD43" s="166"/>
      <c r="AE43" s="166"/>
      <c r="AF43" s="166"/>
      <c r="AG43" s="733"/>
      <c r="AH43" s="2204" t="s">
        <v>205</v>
      </c>
      <c r="AI43" s="2207"/>
      <c r="AJ43" s="2207"/>
      <c r="AK43" s="2208"/>
      <c r="AL43" s="166"/>
      <c r="AM43" s="166"/>
      <c r="AN43" s="159"/>
      <c r="AO43" s="158">
        <f>'R-Resumo Bal. Massa'!E44</f>
        <v>0</v>
      </c>
      <c r="AP43" s="159"/>
      <c r="AQ43" s="159"/>
      <c r="AR43" s="159"/>
      <c r="AS43" s="159"/>
      <c r="AT43" s="172"/>
      <c r="AV43" s="181"/>
      <c r="AW43" s="182"/>
      <c r="AX43" s="181"/>
      <c r="AY43" s="182"/>
    </row>
    <row r="44" spans="2:53" s="164" customFormat="1" ht="7.2" customHeight="1" x14ac:dyDescent="0.3">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95" customHeight="1" x14ac:dyDescent="0.3">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0</v>
      </c>
      <c r="AR45" s="159"/>
      <c r="AS45" s="159"/>
      <c r="AT45" s="172"/>
    </row>
    <row r="46" spans="2:53" s="164" customFormat="1" ht="7.2" customHeight="1" x14ac:dyDescent="0.3">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95" customHeight="1" x14ac:dyDescent="0.3">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0</v>
      </c>
      <c r="AT47" s="172"/>
    </row>
    <row r="48" spans="2:53" s="164" customFormat="1" ht="9.75" customHeight="1" x14ac:dyDescent="0.3">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3">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3">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95" customHeight="1" x14ac:dyDescent="0.3">
      <c r="B51" s="171"/>
      <c r="C51" s="166"/>
      <c r="D51" s="166"/>
      <c r="E51" s="166"/>
      <c r="F51" s="219"/>
      <c r="G51" s="219"/>
      <c r="H51" s="220" t="s">
        <v>206</v>
      </c>
      <c r="I51" s="2236">
        <f>'R-Definição'!E126</f>
        <v>68.390625</v>
      </c>
      <c r="J51" s="2237"/>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113.97624999999999</v>
      </c>
      <c r="AP51" s="162"/>
      <c r="AQ51" s="1025">
        <f>AQ29+AQ33+AQ39+AQ45</f>
        <v>35.129999999999995</v>
      </c>
      <c r="AR51" s="162"/>
      <c r="AS51" s="1025">
        <f>'R-Resumo Bal. Massa'!D53</f>
        <v>100.89375000000001</v>
      </c>
      <c r="AT51" s="172"/>
      <c r="AU51" s="180"/>
      <c r="AV51" s="180"/>
    </row>
    <row r="52" spans="2:49" s="164" customFormat="1" ht="4.2" customHeight="1" x14ac:dyDescent="0.3">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95" customHeight="1" x14ac:dyDescent="0.3">
      <c r="B53" s="171"/>
      <c r="C53" s="166"/>
      <c r="D53" s="219"/>
      <c r="E53" s="219"/>
      <c r="F53" s="219"/>
      <c r="G53" s="219"/>
      <c r="H53" s="220" t="s">
        <v>209</v>
      </c>
      <c r="I53" s="2236" t="str">
        <f>IF('R-Definição'!O124&gt;0,'R-Definição'!O124,"Não")</f>
        <v>Não</v>
      </c>
      <c r="J53" s="2237"/>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45.6</v>
      </c>
      <c r="AP53" s="163"/>
      <c r="AQ53" s="1024">
        <f>IF(C11&lt;&gt;0,ROUND(100-AO53-AS53,1),0)</f>
        <v>14</v>
      </c>
      <c r="AR53" s="163"/>
      <c r="AS53" s="1024">
        <f>IF(C11&lt;&gt;0,ROUND(AS51/(AO51+AQ51+AS51)*100,1),0)</f>
        <v>40.4</v>
      </c>
      <c r="AT53" s="172"/>
      <c r="AU53" s="189"/>
      <c r="AV53" s="180"/>
    </row>
    <row r="54" spans="2:49" s="164" customFormat="1" ht="8.6999999999999993" customHeight="1" x14ac:dyDescent="0.3">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3"/>
    <row r="56" spans="2:49" ht="14.25" customHeight="1" x14ac:dyDescent="0.3"/>
    <row r="57" spans="2:49" ht="14.25" customHeight="1" x14ac:dyDescent="0.3"/>
    <row r="58" spans="2:49" ht="14.25" customHeight="1" x14ac:dyDescent="0.3"/>
    <row r="59" spans="2:49" ht="14.25" customHeight="1" x14ac:dyDescent="0.3"/>
    <row r="60" spans="2:49" ht="14.25" customHeight="1" x14ac:dyDescent="0.3"/>
    <row r="61" spans="2:49" ht="14.25" customHeight="1" x14ac:dyDescent="0.3"/>
    <row r="62" spans="2:49" ht="14.25" customHeight="1" x14ac:dyDescent="0.3"/>
    <row r="63" spans="2:49" ht="14.25" customHeight="1" x14ac:dyDescent="0.3"/>
    <row r="64" spans="2:49"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4140625" defaultRowHeight="15" customHeight="1" x14ac:dyDescent="0.3"/>
  <cols>
    <col min="1" max="1" width="1.33203125" customWidth="1"/>
    <col min="2" max="2" width="16.44140625" customWidth="1"/>
    <col min="3" max="3" width="33.33203125" customWidth="1"/>
    <col min="4" max="4" width="17" customWidth="1"/>
    <col min="5" max="5" width="20.44140625" customWidth="1"/>
    <col min="6" max="7" width="20.6640625" customWidth="1"/>
    <col min="8" max="8" width="14" customWidth="1"/>
    <col min="9" max="10" width="13" customWidth="1"/>
    <col min="11" max="11" width="13.44140625" customWidth="1"/>
    <col min="12" max="12" width="9.6640625" customWidth="1"/>
    <col min="13" max="13" width="15" customWidth="1"/>
    <col min="14" max="14" width="15.6640625" customWidth="1"/>
    <col min="15" max="15" width="15" customWidth="1"/>
    <col min="16" max="16" width="9.44140625" customWidth="1"/>
    <col min="17" max="20" width="8.6640625" customWidth="1"/>
  </cols>
  <sheetData>
    <row r="1" spans="1:20" ht="12.75" customHeight="1" x14ac:dyDescent="0.3">
      <c r="A1" s="3"/>
      <c r="B1" s="3"/>
      <c r="C1" s="3"/>
      <c r="D1" s="3"/>
      <c r="E1" s="3"/>
      <c r="F1" s="3"/>
      <c r="G1" s="3"/>
      <c r="H1" s="3"/>
      <c r="I1" s="3"/>
      <c r="J1" s="3"/>
      <c r="K1" s="3"/>
      <c r="L1" s="3"/>
      <c r="M1" s="3"/>
      <c r="N1" s="3"/>
      <c r="O1" s="3"/>
      <c r="P1" s="3"/>
      <c r="Q1" s="3"/>
      <c r="R1" s="3"/>
      <c r="S1" s="3"/>
      <c r="T1" s="3"/>
    </row>
    <row r="2" spans="1:20" ht="18" customHeight="1" x14ac:dyDescent="0.3">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3">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3">
      <c r="A4" s="3"/>
      <c r="B4" s="64"/>
      <c r="C4" s="64"/>
      <c r="D4" s="64"/>
      <c r="E4" s="64"/>
      <c r="F4" s="64"/>
      <c r="G4" s="64"/>
      <c r="H4" s="64"/>
      <c r="I4" s="3"/>
      <c r="J4" s="2256"/>
      <c r="K4" s="2128"/>
      <c r="L4" s="3"/>
      <c r="M4" s="3"/>
      <c r="N4" s="3"/>
      <c r="O4" s="3"/>
      <c r="P4" s="3"/>
      <c r="Q4" s="3"/>
      <c r="R4" s="3"/>
      <c r="S4" s="3"/>
      <c r="T4" s="3"/>
    </row>
    <row r="5" spans="1:20" ht="25.95" customHeight="1" x14ac:dyDescent="0.3">
      <c r="A5" s="3"/>
      <c r="B5" s="100"/>
      <c r="C5" s="204" t="s">
        <v>543</v>
      </c>
      <c r="D5" s="100"/>
      <c r="E5" s="100"/>
      <c r="F5" s="100"/>
      <c r="G5" s="100"/>
      <c r="H5" s="100"/>
      <c r="I5" s="3"/>
      <c r="J5" s="2258" t="s">
        <v>473</v>
      </c>
      <c r="K5" s="2152"/>
      <c r="L5" s="2152"/>
      <c r="M5" s="3"/>
      <c r="N5" s="3"/>
      <c r="O5" s="3"/>
      <c r="P5" s="3"/>
      <c r="Q5" s="3"/>
      <c r="R5" s="3"/>
      <c r="S5" s="3"/>
      <c r="T5" s="3"/>
    </row>
    <row r="6" spans="1:20" ht="18" customHeight="1" x14ac:dyDescent="0.3">
      <c r="A6" s="3"/>
      <c r="B6" s="64"/>
      <c r="C6" s="64"/>
      <c r="D6" s="64"/>
      <c r="E6" s="64"/>
      <c r="F6" s="64"/>
      <c r="G6" s="64"/>
      <c r="H6" s="64"/>
      <c r="I6" s="3"/>
      <c r="J6" s="2122" t="str">
        <f>Apresentação!I2</f>
        <v>RC-RSU V.1.0 - 15/10/2020</v>
      </c>
      <c r="K6" s="2257"/>
      <c r="L6" s="2257"/>
      <c r="M6" s="3"/>
      <c r="N6" s="3"/>
      <c r="O6" s="3"/>
      <c r="P6" s="3"/>
      <c r="Q6" s="3"/>
      <c r="R6" s="3"/>
      <c r="S6" s="3"/>
      <c r="T6" s="3"/>
    </row>
    <row r="7" spans="1:20" ht="18" customHeight="1" x14ac:dyDescent="0.3">
      <c r="A7" s="3"/>
      <c r="B7" s="2111" t="s">
        <v>544</v>
      </c>
      <c r="C7" s="2148"/>
      <c r="D7" s="2148"/>
      <c r="E7" s="2148"/>
      <c r="F7" s="2148"/>
      <c r="G7" s="2148"/>
      <c r="H7" s="2148"/>
      <c r="I7" s="3"/>
      <c r="J7" s="734"/>
      <c r="K7" s="734"/>
      <c r="L7" s="734"/>
      <c r="M7" s="3"/>
      <c r="N7" s="3"/>
      <c r="O7" s="3"/>
      <c r="P7" s="3"/>
      <c r="Q7" s="3"/>
      <c r="R7" s="3"/>
      <c r="S7" s="3"/>
      <c r="T7" s="3"/>
    </row>
    <row r="8" spans="1:20" ht="18" customHeight="1" x14ac:dyDescent="0.3">
      <c r="A8" s="3"/>
      <c r="B8" s="2119" t="s">
        <v>210</v>
      </c>
      <c r="C8" s="2119" t="s">
        <v>211</v>
      </c>
      <c r="D8" s="2111" t="s">
        <v>212</v>
      </c>
      <c r="E8" s="2119" t="s">
        <v>213</v>
      </c>
      <c r="F8" s="2118"/>
      <c r="G8" s="2118"/>
      <c r="H8" s="2118"/>
      <c r="I8" s="3"/>
      <c r="J8" s="3"/>
      <c r="K8" s="3"/>
      <c r="L8" s="3"/>
      <c r="M8" s="3"/>
      <c r="N8" s="3"/>
      <c r="O8" s="3"/>
      <c r="P8" s="14"/>
      <c r="Q8" s="3"/>
      <c r="R8" s="3"/>
      <c r="S8" s="3"/>
      <c r="T8" s="3"/>
    </row>
    <row r="9" spans="1:20" ht="18" customHeight="1" x14ac:dyDescent="0.3">
      <c r="A9" s="7"/>
      <c r="B9" s="2118"/>
      <c r="C9" s="2118"/>
      <c r="D9" s="2118"/>
      <c r="E9" s="2119" t="s">
        <v>214</v>
      </c>
      <c r="F9" s="2241" t="s">
        <v>25</v>
      </c>
      <c r="G9" s="2111" t="s">
        <v>215</v>
      </c>
      <c r="H9" s="2119" t="s">
        <v>216</v>
      </c>
      <c r="I9" s="7"/>
      <c r="J9" s="7"/>
      <c r="K9" s="7"/>
      <c r="L9" s="7"/>
      <c r="M9" s="7"/>
      <c r="N9" s="7"/>
      <c r="O9" s="7"/>
      <c r="P9" s="3"/>
      <c r="Q9" s="3"/>
      <c r="R9" s="7"/>
      <c r="S9" s="3"/>
      <c r="T9" s="3"/>
    </row>
    <row r="10" spans="1:20" ht="18" customHeight="1" x14ac:dyDescent="0.3">
      <c r="A10" s="7"/>
      <c r="B10" s="2118"/>
      <c r="C10" s="2118"/>
      <c r="D10" s="2118"/>
      <c r="E10" s="2118"/>
      <c r="F10" s="2118"/>
      <c r="G10" s="2118"/>
      <c r="H10" s="2118"/>
      <c r="I10" s="7"/>
      <c r="J10" s="7"/>
      <c r="K10" s="7"/>
      <c r="L10" s="7"/>
      <c r="M10" s="7"/>
      <c r="N10" s="7"/>
      <c r="O10" s="7"/>
      <c r="P10" s="3"/>
      <c r="Q10" s="3"/>
      <c r="R10" s="7"/>
      <c r="S10" s="3"/>
      <c r="T10" s="3"/>
    </row>
    <row r="11" spans="1:20" ht="18" customHeight="1" x14ac:dyDescent="0.3">
      <c r="A11" s="7"/>
      <c r="B11" s="7"/>
      <c r="C11" s="7"/>
      <c r="D11" s="7"/>
      <c r="E11" s="7"/>
      <c r="F11" s="7"/>
      <c r="G11" s="7"/>
      <c r="H11" s="7"/>
      <c r="I11" s="7"/>
      <c r="J11" s="7"/>
      <c r="K11" s="7"/>
      <c r="L11" s="7"/>
      <c r="M11" s="7"/>
      <c r="N11" s="7"/>
      <c r="O11" s="7"/>
      <c r="P11" s="3"/>
      <c r="Q11" s="3"/>
      <c r="R11" s="7"/>
      <c r="S11" s="3"/>
      <c r="T11" s="3"/>
    </row>
    <row r="12" spans="1:20" ht="18" customHeight="1" x14ac:dyDescent="0.3">
      <c r="A12" s="7"/>
      <c r="B12" s="736"/>
      <c r="C12" s="748" t="s">
        <v>217</v>
      </c>
      <c r="D12" s="735"/>
      <c r="E12" s="4"/>
      <c r="F12" s="10"/>
      <c r="G12" s="4"/>
      <c r="H12" s="17"/>
      <c r="I12" s="7"/>
      <c r="J12" s="7"/>
      <c r="K12" s="7"/>
      <c r="L12" s="7"/>
      <c r="M12" s="7"/>
      <c r="N12" s="7"/>
      <c r="O12" s="7"/>
      <c r="P12" s="3"/>
      <c r="Q12" s="3"/>
      <c r="R12" s="7"/>
      <c r="S12" s="3"/>
      <c r="T12" s="3"/>
    </row>
    <row r="13" spans="1:20" ht="18" customHeight="1" x14ac:dyDescent="0.3">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3">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3">
      <c r="A15" s="7"/>
      <c r="B15" s="737"/>
      <c r="C15" s="744" t="s">
        <v>474</v>
      </c>
      <c r="D15" s="223">
        <f>'R-Definição'!N15</f>
        <v>250</v>
      </c>
      <c r="E15" s="6"/>
      <c r="F15" s="4"/>
      <c r="G15" s="4"/>
      <c r="H15" s="27"/>
      <c r="I15" s="17"/>
      <c r="J15" s="12"/>
      <c r="K15" s="18"/>
      <c r="L15" s="3"/>
      <c r="M15" s="7"/>
      <c r="N15" s="7"/>
      <c r="O15" s="7"/>
      <c r="P15" s="3"/>
      <c r="Q15" s="3"/>
      <c r="R15" s="7"/>
      <c r="S15" s="3"/>
      <c r="T15" s="3"/>
    </row>
    <row r="16" spans="1:20" ht="18" customHeight="1" x14ac:dyDescent="0.3">
      <c r="A16" s="7"/>
      <c r="B16" s="736"/>
      <c r="C16" s="746" t="s">
        <v>53</v>
      </c>
      <c r="D16" s="740">
        <f>'R-Definição'!N16</f>
        <v>250</v>
      </c>
      <c r="E16" s="14"/>
      <c r="F16" s="28"/>
      <c r="G16" s="29"/>
      <c r="H16" s="7"/>
      <c r="I16" s="30"/>
      <c r="J16" s="12"/>
      <c r="K16" s="19"/>
      <c r="L16" s="7"/>
      <c r="M16" s="7"/>
      <c r="N16" s="7"/>
      <c r="O16" s="7"/>
      <c r="P16" s="7"/>
      <c r="Q16" s="7"/>
      <c r="R16" s="7"/>
      <c r="S16" s="3"/>
      <c r="T16" s="3"/>
    </row>
    <row r="17" spans="1:20" ht="18" customHeight="1" x14ac:dyDescent="0.3">
      <c r="A17" s="7"/>
      <c r="B17" s="14"/>
      <c r="C17" s="14"/>
      <c r="D17" s="7"/>
      <c r="E17" s="7"/>
      <c r="F17" s="7"/>
      <c r="G17" s="7"/>
      <c r="H17" s="7"/>
      <c r="I17" s="4"/>
      <c r="J17" s="12"/>
      <c r="K17" s="15"/>
      <c r="L17" s="7"/>
      <c r="M17" s="7"/>
      <c r="N17" s="7"/>
      <c r="O17" s="7"/>
      <c r="P17" s="7"/>
      <c r="Q17" s="7"/>
      <c r="R17" s="7"/>
      <c r="S17" s="3"/>
      <c r="T17" s="3"/>
    </row>
    <row r="18" spans="1:20" ht="18" customHeight="1" x14ac:dyDescent="0.3">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3">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3">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3">
      <c r="A21" s="3"/>
      <c r="B21" s="738">
        <f>D21</f>
        <v>250</v>
      </c>
      <c r="C21" s="510" t="s">
        <v>751</v>
      </c>
      <c r="D21" s="223">
        <f>IF('R-Definição'!$I$24="Sim",'R-Definição'!$I$27,0)</f>
        <v>250</v>
      </c>
      <c r="E21" s="223">
        <f>'R-Definição'!O30</f>
        <v>19.9375</v>
      </c>
      <c r="F21" s="223">
        <f>'R-Definição'!L32</f>
        <v>109.22499999999999</v>
      </c>
      <c r="G21" s="223">
        <f>SUM('R-Definição'!O34:'R-Definição'!O35)</f>
        <v>120.83750000000001</v>
      </c>
      <c r="H21" s="21"/>
      <c r="I21" s="3"/>
      <c r="J21" s="3"/>
      <c r="K21" s="3"/>
      <c r="L21" s="3"/>
      <c r="M21" s="7"/>
      <c r="N21" s="7"/>
      <c r="O21" s="7"/>
      <c r="P21" s="7"/>
      <c r="Q21" s="7"/>
      <c r="R21" s="3"/>
      <c r="S21" s="3"/>
      <c r="T21" s="3"/>
    </row>
    <row r="22" spans="1:20" ht="18" customHeight="1" x14ac:dyDescent="0.3">
      <c r="A22" s="3"/>
      <c r="B22" s="745"/>
      <c r="C22" s="746" t="s">
        <v>218</v>
      </c>
      <c r="D22" s="740">
        <f>SUM(D19:D21)</f>
        <v>250</v>
      </c>
      <c r="E22" s="224">
        <f>SUM(E19:E21)</f>
        <v>19.9375</v>
      </c>
      <c r="F22" s="224">
        <f>SUM(F19:F21)</f>
        <v>109.22499999999999</v>
      </c>
      <c r="G22" s="224">
        <f>SUM(G19:G21)</f>
        <v>120.83750000000001</v>
      </c>
      <c r="H22" s="21"/>
      <c r="I22" s="3"/>
      <c r="J22" s="3"/>
      <c r="K22" s="3"/>
      <c r="L22" s="3"/>
      <c r="M22" s="3"/>
      <c r="N22" s="3"/>
      <c r="O22" s="3"/>
      <c r="P22" s="3"/>
      <c r="Q22" s="3"/>
      <c r="R22" s="3"/>
      <c r="S22" s="3"/>
      <c r="T22" s="3"/>
    </row>
    <row r="23" spans="1:20" ht="18" customHeight="1" x14ac:dyDescent="0.3">
      <c r="A23" s="3"/>
      <c r="B23" s="3"/>
      <c r="C23" s="3"/>
      <c r="D23" s="31"/>
      <c r="E23" s="3"/>
      <c r="F23" s="3"/>
      <c r="G23" s="3"/>
      <c r="H23" s="3"/>
      <c r="I23" s="3"/>
      <c r="J23" s="3"/>
      <c r="K23" s="3"/>
      <c r="L23" s="3"/>
      <c r="M23" s="3"/>
      <c r="N23" s="3"/>
      <c r="O23" s="3"/>
      <c r="P23" s="3"/>
      <c r="Q23" s="3"/>
      <c r="R23" s="3"/>
      <c r="S23" s="3"/>
      <c r="T23" s="3"/>
    </row>
    <row r="24" spans="1:20" ht="18" customHeight="1" x14ac:dyDescent="0.3">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3">
      <c r="A25" s="3"/>
      <c r="B25" s="2259">
        <f>D29</f>
        <v>94.5</v>
      </c>
      <c r="C25" s="233" t="s">
        <v>732</v>
      </c>
      <c r="D25" s="223">
        <f>'R-Definição'!E49</f>
        <v>0</v>
      </c>
      <c r="E25" s="2242">
        <f>'R-Definição'!O49+'R-Definição'!O50</f>
        <v>44.887500000000003</v>
      </c>
      <c r="F25" s="2246"/>
      <c r="G25" s="2242">
        <f>'R-Definição'!O53</f>
        <v>47.25</v>
      </c>
      <c r="H25" s="2242">
        <f>'R-Definição'!O55</f>
        <v>2.3624999999999998</v>
      </c>
      <c r="I25" s="3"/>
      <c r="J25" s="3"/>
      <c r="K25" s="3"/>
      <c r="L25" s="3"/>
      <c r="M25" s="3"/>
      <c r="N25" s="3"/>
      <c r="O25" s="3"/>
      <c r="P25" s="3"/>
      <c r="Q25" s="3"/>
      <c r="R25" s="3"/>
      <c r="S25" s="3"/>
      <c r="T25" s="3"/>
    </row>
    <row r="26" spans="1:20" ht="18" customHeight="1" x14ac:dyDescent="0.3">
      <c r="A26" s="3"/>
      <c r="B26" s="2260"/>
      <c r="C26" s="233" t="s">
        <v>733</v>
      </c>
      <c r="D26" s="223">
        <f>'R-Definição'!E50</f>
        <v>0</v>
      </c>
      <c r="E26" s="2243"/>
      <c r="F26" s="2243"/>
      <c r="G26" s="2243"/>
      <c r="H26" s="2243"/>
      <c r="I26" s="3"/>
      <c r="J26" s="3"/>
      <c r="K26" s="3"/>
      <c r="L26" s="3"/>
      <c r="M26" s="3"/>
      <c r="N26" s="3"/>
      <c r="O26" s="3"/>
      <c r="P26" s="3"/>
      <c r="Q26" s="3"/>
      <c r="R26" s="3"/>
      <c r="S26" s="3"/>
      <c r="T26" s="3"/>
    </row>
    <row r="27" spans="1:20" ht="18" customHeight="1" x14ac:dyDescent="0.3">
      <c r="A27" s="3"/>
      <c r="B27" s="2260"/>
      <c r="C27" s="233" t="s">
        <v>545</v>
      </c>
      <c r="D27" s="223">
        <f>'R-Definição'!E51</f>
        <v>94.5</v>
      </c>
      <c r="E27" s="2243"/>
      <c r="F27" s="2243"/>
      <c r="G27" s="2243"/>
      <c r="H27" s="2243"/>
      <c r="I27" s="3"/>
      <c r="J27" s="3"/>
      <c r="K27" s="3"/>
      <c r="L27" s="3"/>
      <c r="M27" s="3"/>
      <c r="N27" s="3"/>
      <c r="O27" s="3"/>
      <c r="P27" s="3"/>
      <c r="Q27" s="3"/>
      <c r="R27" s="3"/>
      <c r="S27" s="3"/>
      <c r="T27" s="3"/>
    </row>
    <row r="28" spans="1:20" ht="18" customHeight="1" x14ac:dyDescent="0.3">
      <c r="A28" s="3"/>
      <c r="B28" s="2260"/>
      <c r="C28" s="233" t="s">
        <v>546</v>
      </c>
      <c r="D28" s="223">
        <f>'R-Definição'!E52</f>
        <v>0</v>
      </c>
      <c r="E28" s="2243"/>
      <c r="F28" s="2243"/>
      <c r="G28" s="2243"/>
      <c r="H28" s="2243"/>
      <c r="I28" s="3"/>
      <c r="J28" s="3"/>
      <c r="K28" s="3"/>
      <c r="L28" s="3"/>
      <c r="M28" s="3"/>
      <c r="N28" s="3"/>
      <c r="O28" s="3"/>
      <c r="P28" s="3"/>
      <c r="Q28" s="3"/>
      <c r="R28" s="3"/>
      <c r="S28" s="3"/>
      <c r="T28" s="3"/>
    </row>
    <row r="29" spans="1:20" ht="18" customHeight="1" x14ac:dyDescent="0.3">
      <c r="A29" s="3"/>
      <c r="B29" s="222"/>
      <c r="C29" s="746" t="s">
        <v>218</v>
      </c>
      <c r="D29" s="740">
        <f>SUM(D25:D28)</f>
        <v>94.5</v>
      </c>
      <c r="E29" s="224">
        <f>E25</f>
        <v>44.887500000000003</v>
      </c>
      <c r="F29" s="224"/>
      <c r="G29" s="224">
        <f>SUM(G25)</f>
        <v>47.25</v>
      </c>
      <c r="H29" s="224">
        <f>SUM(H25:H28)</f>
        <v>2.3624999999999998</v>
      </c>
      <c r="I29" s="3"/>
      <c r="J29" s="3"/>
      <c r="K29" s="3"/>
      <c r="L29" s="3"/>
      <c r="M29" s="3"/>
      <c r="N29" s="3"/>
      <c r="O29" s="3"/>
      <c r="P29" s="3"/>
      <c r="Q29" s="3"/>
      <c r="R29" s="3"/>
      <c r="S29" s="3"/>
      <c r="T29" s="3"/>
    </row>
    <row r="30" spans="1:20" ht="18" customHeight="1" x14ac:dyDescent="0.3">
      <c r="A30" s="3"/>
      <c r="B30" s="741">
        <f>'R-Definição'!I51</f>
        <v>94.5</v>
      </c>
      <c r="C30" s="955" t="s">
        <v>219</v>
      </c>
      <c r="D30" s="228"/>
      <c r="E30" s="229"/>
      <c r="F30" s="229"/>
      <c r="G30" s="229"/>
      <c r="H30" s="229"/>
      <c r="I30" s="3"/>
      <c r="J30" s="3"/>
      <c r="K30" s="3"/>
      <c r="L30" s="3"/>
      <c r="M30" s="3"/>
      <c r="N30" s="3"/>
      <c r="O30" s="3"/>
      <c r="P30" s="3"/>
      <c r="Q30" s="3"/>
      <c r="R30" s="3"/>
      <c r="S30" s="3"/>
      <c r="T30" s="3"/>
    </row>
    <row r="31" spans="1:20" ht="18" customHeight="1" x14ac:dyDescent="0.3">
      <c r="A31" s="3"/>
      <c r="B31" s="741">
        <f>'R-Definição'!I52</f>
        <v>0</v>
      </c>
      <c r="C31" s="955" t="s">
        <v>220</v>
      </c>
      <c r="D31" s="230"/>
      <c r="E31" s="108"/>
      <c r="F31" s="108"/>
      <c r="G31" s="108"/>
      <c r="H31" s="108"/>
      <c r="I31" s="3"/>
      <c r="J31" s="3"/>
      <c r="K31" s="3"/>
      <c r="L31" s="3"/>
      <c r="M31" s="3"/>
      <c r="N31" s="3"/>
      <c r="O31" s="3"/>
      <c r="P31" s="3"/>
      <c r="Q31" s="3"/>
      <c r="R31" s="3"/>
      <c r="S31" s="3"/>
      <c r="T31" s="3"/>
    </row>
    <row r="32" spans="1:20" ht="18" customHeight="1" x14ac:dyDescent="0.3">
      <c r="A32" s="3"/>
      <c r="B32" s="83"/>
      <c r="C32" s="83"/>
      <c r="D32" s="231"/>
      <c r="E32" s="232"/>
      <c r="F32" s="232"/>
      <c r="G32" s="232"/>
      <c r="H32" s="232"/>
      <c r="I32" s="3"/>
      <c r="J32" s="3"/>
      <c r="K32" s="3"/>
      <c r="L32" s="3"/>
      <c r="M32" s="3"/>
      <c r="N32" s="3"/>
      <c r="O32" s="3"/>
      <c r="P32" s="3"/>
      <c r="Q32" s="3"/>
      <c r="R32" s="3"/>
      <c r="S32" s="3"/>
      <c r="T32" s="3"/>
    </row>
    <row r="33" spans="1:20" ht="18" customHeight="1" x14ac:dyDescent="0.3">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3">
      <c r="A34" s="3"/>
      <c r="B34" s="741">
        <f>'R-Definição'!O62</f>
        <v>0</v>
      </c>
      <c r="C34" s="507" t="s">
        <v>221</v>
      </c>
      <c r="D34" s="976">
        <f>IF('R-Definição'!$J$67&lt;&gt;"Uso agrícola dir.",'R-Definição'!$O$62,0)</f>
        <v>0</v>
      </c>
      <c r="E34" s="978"/>
      <c r="F34" s="2245">
        <f>'R-Definição'!O67+'R-Definição'!O68</f>
        <v>49.15124999999999</v>
      </c>
      <c r="G34" s="2242">
        <f>'R-Definição'!O73</f>
        <v>27.306249999999999</v>
      </c>
      <c r="H34" s="2242">
        <f>'R-Definição'!O74</f>
        <v>32.767499999999998</v>
      </c>
      <c r="I34" s="3"/>
      <c r="J34" s="3"/>
      <c r="K34" s="3"/>
      <c r="L34" s="3"/>
      <c r="M34" s="3"/>
      <c r="N34" s="3"/>
      <c r="O34" s="3"/>
      <c r="P34" s="3"/>
      <c r="Q34" s="3"/>
      <c r="R34" s="3"/>
      <c r="S34" s="3"/>
      <c r="T34" s="3"/>
    </row>
    <row r="35" spans="1:20" ht="18" customHeight="1" x14ac:dyDescent="0.3">
      <c r="A35" s="3"/>
      <c r="B35" s="741">
        <f>'R-Definição'!O63+'R-Definição'!O64</f>
        <v>109.22499999999999</v>
      </c>
      <c r="C35" s="507" t="s">
        <v>132</v>
      </c>
      <c r="D35" s="223">
        <f>'R-Definição'!E60-'R-Definição'!O62</f>
        <v>109.22499999999999</v>
      </c>
      <c r="E35" s="975"/>
      <c r="F35" s="2244"/>
      <c r="G35" s="2244"/>
      <c r="H35" s="2244"/>
      <c r="I35" s="3"/>
      <c r="J35" s="3"/>
      <c r="K35" s="3"/>
      <c r="L35" s="3"/>
      <c r="M35" s="3"/>
      <c r="N35" s="3"/>
      <c r="O35" s="3"/>
      <c r="P35" s="3"/>
      <c r="Q35" s="3"/>
      <c r="R35" s="3"/>
      <c r="S35" s="3"/>
      <c r="T35" s="3"/>
    </row>
    <row r="36" spans="1:20" ht="18" customHeight="1" x14ac:dyDescent="0.3">
      <c r="A36" s="3"/>
      <c r="B36" s="211"/>
      <c r="C36" s="747" t="s">
        <v>218</v>
      </c>
      <c r="D36" s="241">
        <f>SUM(D33:D35)</f>
        <v>109.22499999999999</v>
      </c>
      <c r="E36" s="236"/>
      <c r="F36" s="749">
        <f>F34</f>
        <v>49.15124999999999</v>
      </c>
      <c r="G36" s="749">
        <f>G34</f>
        <v>27.306249999999999</v>
      </c>
      <c r="H36" s="749">
        <f>H34</f>
        <v>32.767499999999998</v>
      </c>
      <c r="I36" s="3"/>
      <c r="J36" s="3"/>
      <c r="K36" s="3"/>
      <c r="L36" s="3"/>
      <c r="M36" s="3"/>
      <c r="N36" s="3"/>
      <c r="O36" s="3"/>
      <c r="P36" s="3"/>
      <c r="Q36" s="3"/>
      <c r="R36" s="3"/>
      <c r="S36" s="3"/>
      <c r="T36" s="3"/>
    </row>
    <row r="37" spans="1:20" ht="18" customHeight="1" x14ac:dyDescent="0.3">
      <c r="A37" s="3"/>
      <c r="B37" s="83"/>
      <c r="C37" s="83"/>
      <c r="D37" s="231"/>
      <c r="E37" s="106"/>
      <c r="F37" s="106"/>
      <c r="G37" s="106"/>
      <c r="H37" s="106"/>
      <c r="I37" s="3"/>
      <c r="J37" s="3"/>
      <c r="K37" s="3"/>
      <c r="L37" s="3"/>
      <c r="M37" s="3"/>
      <c r="N37" s="3"/>
      <c r="O37" s="3"/>
      <c r="P37" s="3"/>
      <c r="Q37" s="3"/>
      <c r="R37" s="3"/>
      <c r="S37" s="3"/>
      <c r="T37" s="3"/>
    </row>
    <row r="38" spans="1:20" ht="18" customHeight="1" x14ac:dyDescent="0.3">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3">
      <c r="A39" s="3"/>
      <c r="B39" s="2259">
        <f>'R-Definição'!E112</f>
        <v>0</v>
      </c>
      <c r="C39" s="507" t="s">
        <v>222</v>
      </c>
      <c r="D39" s="223">
        <f>'R-Definição'!E107</f>
        <v>0</v>
      </c>
      <c r="E39" s="2247">
        <f>'R-Definição'!O107+'R-Definição'!O108+'R-Definição'!O109</f>
        <v>0</v>
      </c>
      <c r="F39" s="2246"/>
      <c r="G39" s="2247">
        <f>'R-Definição'!O110</f>
        <v>0</v>
      </c>
      <c r="H39" s="2247">
        <f>'R-Definição'!O113</f>
        <v>0</v>
      </c>
      <c r="I39" s="3"/>
      <c r="J39" s="3"/>
      <c r="K39" s="3"/>
      <c r="L39" s="3"/>
      <c r="M39" s="3"/>
      <c r="N39" s="3"/>
      <c r="O39" s="3"/>
      <c r="P39" s="3"/>
      <c r="Q39" s="3"/>
      <c r="R39" s="3"/>
      <c r="S39" s="3"/>
      <c r="T39" s="3"/>
    </row>
    <row r="40" spans="1:20" ht="18" customHeight="1" x14ac:dyDescent="0.3">
      <c r="A40" s="3"/>
      <c r="B40" s="2198"/>
      <c r="C40" s="507" t="s">
        <v>752</v>
      </c>
      <c r="D40" s="223">
        <f>'R-Definição'!E108</f>
        <v>0</v>
      </c>
      <c r="E40" s="2244"/>
      <c r="F40" s="2244"/>
      <c r="G40" s="2244"/>
      <c r="H40" s="2244"/>
      <c r="I40" s="3"/>
      <c r="J40" s="3"/>
      <c r="K40" s="3"/>
      <c r="L40" s="3"/>
      <c r="M40" s="3"/>
      <c r="N40" s="3"/>
      <c r="O40" s="3"/>
      <c r="P40" s="3"/>
      <c r="Q40" s="3"/>
      <c r="R40" s="3"/>
      <c r="S40" s="3"/>
      <c r="T40" s="3"/>
    </row>
    <row r="41" spans="1:20" ht="18" customHeight="1" x14ac:dyDescent="0.3">
      <c r="A41" s="3"/>
      <c r="B41" s="2198"/>
      <c r="C41" s="507" t="s">
        <v>734</v>
      </c>
      <c r="D41" s="223">
        <f>'R-Definição'!E109</f>
        <v>0</v>
      </c>
      <c r="E41" s="2244"/>
      <c r="F41" s="2244"/>
      <c r="G41" s="2244"/>
      <c r="H41" s="2244"/>
      <c r="I41" s="3"/>
      <c r="J41" s="3"/>
      <c r="K41" s="3"/>
      <c r="L41" s="3"/>
      <c r="M41" s="3"/>
      <c r="N41" s="3"/>
      <c r="O41" s="3"/>
      <c r="P41" s="3"/>
      <c r="Q41" s="3"/>
      <c r="R41" s="3"/>
      <c r="S41" s="3"/>
      <c r="T41" s="3"/>
    </row>
    <row r="42" spans="1:20" ht="18" customHeight="1" x14ac:dyDescent="0.3">
      <c r="A42" s="3"/>
      <c r="B42" s="2198"/>
      <c r="C42" s="237" t="s">
        <v>819</v>
      </c>
      <c r="D42" s="223">
        <f>'R-Definição'!E110</f>
        <v>0</v>
      </c>
      <c r="E42" s="2244"/>
      <c r="F42" s="2244"/>
      <c r="G42" s="2244"/>
      <c r="H42" s="2244"/>
      <c r="I42" s="3"/>
      <c r="J42" s="3"/>
      <c r="K42" s="3"/>
      <c r="L42" s="3"/>
      <c r="M42" s="3"/>
      <c r="N42" s="3"/>
      <c r="O42" s="3"/>
      <c r="P42" s="3"/>
      <c r="Q42" s="3"/>
      <c r="R42" s="3"/>
      <c r="S42" s="3"/>
      <c r="T42" s="3"/>
    </row>
    <row r="43" spans="1:20" ht="18" customHeight="1" x14ac:dyDescent="0.3">
      <c r="A43" s="3"/>
      <c r="C43" s="1708" t="s">
        <v>990</v>
      </c>
      <c r="D43" s="1707">
        <f>'R-Definição'!E111</f>
        <v>0</v>
      </c>
      <c r="I43" s="3"/>
      <c r="J43" s="3"/>
      <c r="K43" s="3"/>
      <c r="L43" s="3"/>
      <c r="M43" s="3"/>
      <c r="N43" s="3"/>
      <c r="O43" s="3"/>
      <c r="P43" s="3"/>
      <c r="Q43" s="3"/>
      <c r="R43" s="3"/>
      <c r="S43" s="3"/>
      <c r="T43" s="3"/>
    </row>
    <row r="44" spans="1:20" ht="18" customHeight="1" x14ac:dyDescent="0.3">
      <c r="A44" s="3"/>
      <c r="B44" s="211"/>
      <c r="C44" s="747" t="s">
        <v>218</v>
      </c>
      <c r="D44" s="979">
        <f>SUM(D39:D43)</f>
        <v>0</v>
      </c>
      <c r="E44" s="750">
        <f>E39</f>
        <v>0</v>
      </c>
      <c r="F44" s="751"/>
      <c r="G44" s="750">
        <f>SUM(G38:G42)</f>
        <v>0</v>
      </c>
      <c r="H44" s="750">
        <f>SUM(H38:H42)</f>
        <v>0</v>
      </c>
      <c r="I44" s="3"/>
      <c r="J44" s="3"/>
      <c r="K44" s="3"/>
      <c r="L44" s="3"/>
      <c r="M44" s="3"/>
      <c r="N44" s="3"/>
      <c r="O44" s="3"/>
      <c r="P44" s="3"/>
      <c r="Q44" s="3"/>
      <c r="R44" s="3"/>
      <c r="S44" s="3"/>
      <c r="T44" s="3"/>
    </row>
    <row r="45" spans="1:20" ht="18" customHeight="1" x14ac:dyDescent="0.3">
      <c r="A45" s="3"/>
      <c r="E45" s="5"/>
      <c r="F45" s="5"/>
      <c r="G45" s="5"/>
      <c r="H45" s="5"/>
      <c r="I45" s="3"/>
      <c r="J45" s="3"/>
      <c r="K45" s="3"/>
      <c r="L45" s="3"/>
      <c r="M45" s="3"/>
      <c r="N45" s="3"/>
      <c r="O45" s="3"/>
      <c r="P45" s="3"/>
      <c r="Q45" s="3"/>
      <c r="R45" s="3"/>
      <c r="S45" s="3"/>
      <c r="T45" s="3"/>
    </row>
    <row r="46" spans="1:20" ht="18" customHeight="1" x14ac:dyDescent="0.3">
      <c r="A46" s="3"/>
      <c r="B46" s="736"/>
      <c r="C46" s="431" t="s">
        <v>65</v>
      </c>
      <c r="D46" s="735"/>
      <c r="E46" s="5"/>
      <c r="F46" s="5"/>
      <c r="G46" s="5"/>
      <c r="H46" s="5"/>
      <c r="I46" s="3"/>
      <c r="J46" s="3"/>
      <c r="K46" s="3"/>
      <c r="L46" s="3"/>
      <c r="M46" s="3"/>
      <c r="N46" s="3"/>
      <c r="O46" s="3"/>
      <c r="P46" s="3"/>
      <c r="Q46" s="3"/>
      <c r="R46" s="3"/>
      <c r="S46" s="3"/>
      <c r="T46" s="3"/>
    </row>
    <row r="47" spans="1:20" ht="18" customHeight="1" x14ac:dyDescent="0.3">
      <c r="A47" s="3"/>
      <c r="B47" s="2253">
        <f>'R-Definição'!E119</f>
        <v>100.89375000000001</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3">
      <c r="A48" s="3"/>
      <c r="B48" s="2254"/>
      <c r="C48" s="1706" t="s">
        <v>547</v>
      </c>
      <c r="D48" s="1707">
        <f>'R-Definição'!N96</f>
        <v>26.337500000000006</v>
      </c>
      <c r="E48" s="6"/>
      <c r="F48" s="739"/>
      <c r="G48" s="221" t="s">
        <v>225</v>
      </c>
      <c r="H48" s="221" t="s">
        <v>22</v>
      </c>
      <c r="I48" s="3"/>
      <c r="J48" s="3"/>
      <c r="K48" s="3"/>
      <c r="L48" s="3"/>
      <c r="M48" s="3"/>
      <c r="N48" s="3"/>
      <c r="O48" s="3"/>
      <c r="P48" s="3"/>
      <c r="Q48" s="3"/>
      <c r="R48" s="3"/>
      <c r="S48" s="3"/>
      <c r="T48" s="3"/>
    </row>
    <row r="49" spans="1:20" ht="18" customHeight="1" x14ac:dyDescent="0.3">
      <c r="A49" s="3"/>
      <c r="B49" s="2254"/>
      <c r="C49" s="1706" t="s">
        <v>548</v>
      </c>
      <c r="D49" s="1707">
        <f>'R-Definição'!N98+'R-Definição'!N99+'R-Definição'!N97</f>
        <v>0</v>
      </c>
      <c r="E49" s="5"/>
      <c r="F49" s="233" t="s">
        <v>226</v>
      </c>
      <c r="G49" s="223">
        <f>D53</f>
        <v>100.89375000000001</v>
      </c>
      <c r="H49" s="878">
        <f>IF($G$52&lt;&gt;0,G49/$G$52*100,0)</f>
        <v>40.357500000000009</v>
      </c>
      <c r="I49" s="20"/>
      <c r="J49" s="3"/>
      <c r="K49" s="3"/>
      <c r="L49" s="3"/>
      <c r="M49" s="3"/>
      <c r="N49" s="3"/>
      <c r="O49" s="3"/>
      <c r="P49" s="3"/>
      <c r="Q49" s="3"/>
      <c r="R49" s="3"/>
      <c r="S49" s="3"/>
      <c r="T49" s="3"/>
    </row>
    <row r="50" spans="1:20" ht="18" customHeight="1" x14ac:dyDescent="0.3">
      <c r="A50" s="3"/>
      <c r="B50" s="2254"/>
      <c r="C50" s="1706" t="s">
        <v>549</v>
      </c>
      <c r="D50" s="1707">
        <f>'R-Definição'!O53</f>
        <v>47.25</v>
      </c>
      <c r="E50" s="5"/>
      <c r="F50" s="233" t="s">
        <v>552</v>
      </c>
      <c r="G50" s="878">
        <f>E44+F36+E29+E22</f>
        <v>113.97624999999999</v>
      </c>
      <c r="H50" s="878">
        <f>IF($G$52&lt;&gt;0,G50/$G$52*100,0)</f>
        <v>45.590499999999992</v>
      </c>
      <c r="I50" s="22"/>
      <c r="J50" s="3"/>
      <c r="K50" s="3"/>
      <c r="L50" s="3"/>
      <c r="M50" s="3"/>
      <c r="N50" s="3"/>
      <c r="O50" s="3"/>
      <c r="P50" s="3"/>
      <c r="Q50" s="3"/>
      <c r="R50" s="3"/>
      <c r="S50" s="3"/>
      <c r="T50" s="3"/>
    </row>
    <row r="51" spans="1:20" ht="18" customHeight="1" x14ac:dyDescent="0.3">
      <c r="A51" s="3"/>
      <c r="B51" s="2254"/>
      <c r="C51" s="1706" t="s">
        <v>550</v>
      </c>
      <c r="D51" s="1707">
        <f>'R-Definição'!O73</f>
        <v>27.306249999999999</v>
      </c>
      <c r="E51" s="3"/>
      <c r="F51" s="233" t="s">
        <v>227</v>
      </c>
      <c r="G51" s="878">
        <f>H29+H36+H44</f>
        <v>35.129999999999995</v>
      </c>
      <c r="H51" s="878">
        <f>IF($G$52&lt;&gt;0,G51/$G$52*100,0)</f>
        <v>14.051999999999998</v>
      </c>
      <c r="I51" s="3"/>
      <c r="J51" s="3"/>
      <c r="K51" s="3"/>
      <c r="L51" s="3"/>
      <c r="M51" s="3"/>
      <c r="N51" s="3"/>
      <c r="O51" s="3"/>
      <c r="P51" s="3"/>
      <c r="Q51" s="3"/>
      <c r="R51" s="3"/>
      <c r="S51" s="3"/>
      <c r="T51" s="3"/>
    </row>
    <row r="52" spans="1:20" ht="18" customHeight="1" x14ac:dyDescent="0.3">
      <c r="A52" s="3"/>
      <c r="B52" s="2255"/>
      <c r="C52" s="1706" t="s">
        <v>551</v>
      </c>
      <c r="D52" s="1707">
        <f>'R-Definição'!O110</f>
        <v>0</v>
      </c>
      <c r="E52" s="3"/>
      <c r="F52" s="752" t="s">
        <v>53</v>
      </c>
      <c r="G52" s="224">
        <f>SUM(G49:G51)</f>
        <v>250</v>
      </c>
      <c r="H52" s="743">
        <f>IF($G$52&lt;&gt;0,G52/$G$52*100,0)</f>
        <v>100</v>
      </c>
      <c r="I52" s="20"/>
      <c r="J52" s="3"/>
      <c r="K52" s="3"/>
      <c r="L52" s="3"/>
      <c r="M52" s="3"/>
      <c r="N52" s="3"/>
      <c r="O52" s="3"/>
      <c r="P52" s="3"/>
      <c r="Q52" s="3"/>
      <c r="R52" s="3"/>
      <c r="S52" s="3"/>
      <c r="T52" s="3"/>
    </row>
    <row r="53" spans="1:20" ht="18" customHeight="1" x14ac:dyDescent="0.3">
      <c r="A53" s="3"/>
      <c r="B53" s="745"/>
      <c r="C53" s="746" t="s">
        <v>218</v>
      </c>
      <c r="D53" s="740">
        <f>SUM(D47:D52)</f>
        <v>100.89375000000001</v>
      </c>
      <c r="E53" s="3"/>
      <c r="F53" s="239" t="s">
        <v>228</v>
      </c>
      <c r="G53" s="238"/>
      <c r="H53" s="3"/>
      <c r="I53" s="3"/>
      <c r="J53" s="3"/>
      <c r="K53" s="3"/>
      <c r="L53" s="3"/>
      <c r="M53" s="3"/>
      <c r="N53" s="3"/>
      <c r="O53" s="3"/>
      <c r="P53" s="3"/>
      <c r="Q53" s="3"/>
      <c r="R53" s="3"/>
      <c r="S53" s="3"/>
      <c r="T53" s="3"/>
    </row>
    <row r="54" spans="1:20" ht="18" customHeight="1" x14ac:dyDescent="0.3">
      <c r="A54" s="3"/>
      <c r="B54" s="3"/>
      <c r="C54" s="13"/>
      <c r="D54" s="22"/>
      <c r="E54" s="3"/>
      <c r="F54" s="3"/>
      <c r="G54" s="22"/>
      <c r="H54" s="22"/>
      <c r="I54" s="3"/>
      <c r="J54" s="3"/>
      <c r="K54" s="3"/>
      <c r="L54" s="3"/>
      <c r="M54" s="3"/>
      <c r="N54" s="3"/>
      <c r="O54" s="3"/>
      <c r="P54" s="3"/>
      <c r="Q54" s="3"/>
      <c r="R54" s="3"/>
      <c r="S54" s="3"/>
      <c r="T54" s="3"/>
    </row>
    <row r="55" spans="1:20" ht="18" customHeight="1" x14ac:dyDescent="0.3">
      <c r="A55" s="3"/>
      <c r="B55" s="2111" t="s">
        <v>151</v>
      </c>
      <c r="C55" s="2148"/>
      <c r="D55" s="2111" t="s">
        <v>229</v>
      </c>
      <c r="E55" s="2178"/>
      <c r="F55" s="2178"/>
      <c r="G55" s="2178"/>
      <c r="H55" s="2178"/>
      <c r="I55" s="2178"/>
      <c r="J55" s="2178"/>
      <c r="K55" s="2178"/>
      <c r="L55" s="3"/>
      <c r="M55" s="3"/>
      <c r="N55" s="3"/>
      <c r="O55" s="3"/>
      <c r="P55" s="3"/>
      <c r="Q55" s="3"/>
      <c r="R55" s="3"/>
      <c r="S55" s="3"/>
      <c r="T55" s="3"/>
    </row>
    <row r="56" spans="1:20" ht="18" customHeight="1" x14ac:dyDescent="0.3">
      <c r="A56" s="3"/>
      <c r="B56" s="2148"/>
      <c r="C56" s="2148"/>
      <c r="D56" s="2252" t="s">
        <v>53</v>
      </c>
      <c r="E56" s="2252" t="s">
        <v>185</v>
      </c>
      <c r="F56" s="2249"/>
      <c r="G56" s="2249"/>
      <c r="H56" s="2248" t="s">
        <v>62</v>
      </c>
      <c r="I56" s="2248" t="s">
        <v>188</v>
      </c>
      <c r="J56" s="2248" t="s">
        <v>64</v>
      </c>
      <c r="K56" s="2248" t="s">
        <v>65</v>
      </c>
      <c r="L56" s="3"/>
      <c r="M56" s="3"/>
      <c r="N56" s="3"/>
      <c r="O56" s="3"/>
      <c r="P56" s="3"/>
      <c r="Q56" s="3"/>
      <c r="R56" s="3"/>
      <c r="S56" s="3"/>
      <c r="T56" s="3"/>
    </row>
    <row r="57" spans="1:20" ht="18" customHeight="1" x14ac:dyDescent="0.3">
      <c r="A57" s="3"/>
      <c r="B57" s="2251" t="s">
        <v>28</v>
      </c>
      <c r="C57" s="515" t="s">
        <v>21</v>
      </c>
      <c r="D57" s="2249"/>
      <c r="E57" s="515" t="s">
        <v>80</v>
      </c>
      <c r="F57" s="515" t="s">
        <v>87</v>
      </c>
      <c r="G57" s="515" t="s">
        <v>73</v>
      </c>
      <c r="H57" s="2249"/>
      <c r="I57" s="2249"/>
      <c r="J57" s="2249"/>
      <c r="K57" s="2249"/>
      <c r="L57" s="3"/>
      <c r="M57" s="3"/>
      <c r="N57" s="3"/>
      <c r="O57" s="3"/>
      <c r="P57" s="3"/>
      <c r="Q57" s="3"/>
      <c r="R57" s="3"/>
      <c r="S57" s="3"/>
      <c r="T57" s="3"/>
    </row>
    <row r="58" spans="1:20" ht="18" customHeight="1" x14ac:dyDescent="0.3">
      <c r="A58" s="3"/>
      <c r="B58" s="2251"/>
      <c r="C58" s="233" t="s">
        <v>74</v>
      </c>
      <c r="D58" s="223">
        <f t="shared" ref="D58:D64" si="0">SUM(E58:K58)</f>
        <v>8.1875</v>
      </c>
      <c r="E58" s="223">
        <f>'R-Definição'!M24</f>
        <v>0</v>
      </c>
      <c r="F58" s="223">
        <f>'R-Definição'!N24</f>
        <v>0</v>
      </c>
      <c r="G58" s="223">
        <f>'R-Definição'!O24</f>
        <v>8.1875</v>
      </c>
      <c r="H58" s="878"/>
      <c r="I58" s="877"/>
      <c r="J58" s="877"/>
      <c r="K58" s="877"/>
      <c r="L58" s="3"/>
      <c r="M58" s="3"/>
      <c r="N58" s="3"/>
      <c r="O58" s="3"/>
      <c r="P58" s="3"/>
      <c r="Q58" s="3"/>
      <c r="R58" s="3"/>
      <c r="S58" s="3"/>
      <c r="T58" s="3"/>
    </row>
    <row r="59" spans="1:20" ht="18" customHeight="1" x14ac:dyDescent="0.3">
      <c r="A59" s="3"/>
      <c r="B59" s="2251"/>
      <c r="C59" s="233" t="s">
        <v>29</v>
      </c>
      <c r="D59" s="223">
        <f t="shared" si="0"/>
        <v>5.5625</v>
      </c>
      <c r="E59" s="223">
        <f>'R-Definição'!M25</f>
        <v>0</v>
      </c>
      <c r="F59" s="223">
        <f>'R-Definição'!N25</f>
        <v>0</v>
      </c>
      <c r="G59" s="223">
        <f>'R-Definição'!O25</f>
        <v>5.5625</v>
      </c>
      <c r="H59" s="879"/>
      <c r="I59" s="880"/>
      <c r="J59" s="880"/>
      <c r="K59" s="880"/>
      <c r="L59" s="3"/>
      <c r="M59" s="3"/>
      <c r="N59" s="3"/>
      <c r="O59" s="3"/>
      <c r="P59" s="3"/>
      <c r="Q59" s="3"/>
      <c r="R59" s="3"/>
      <c r="S59" s="3"/>
      <c r="T59" s="3"/>
    </row>
    <row r="60" spans="1:20" ht="18" customHeight="1" x14ac:dyDescent="0.3">
      <c r="A60" s="3"/>
      <c r="B60" s="2251"/>
      <c r="C60" s="233" t="s">
        <v>78</v>
      </c>
      <c r="D60" s="223">
        <f t="shared" si="0"/>
        <v>2.875</v>
      </c>
      <c r="E60" s="223">
        <f>'R-Definição'!M26</f>
        <v>0</v>
      </c>
      <c r="F60" s="223">
        <f>'R-Definição'!N26</f>
        <v>0</v>
      </c>
      <c r="G60" s="223">
        <f>'R-Definição'!O26</f>
        <v>2.875</v>
      </c>
      <c r="H60" s="878"/>
      <c r="I60" s="877"/>
      <c r="J60" s="877"/>
      <c r="K60" s="877"/>
      <c r="L60" s="3"/>
      <c r="M60" s="3"/>
      <c r="N60" s="3"/>
      <c r="O60" s="3"/>
      <c r="P60" s="3"/>
      <c r="Q60" s="3"/>
      <c r="R60" s="3"/>
      <c r="S60" s="3"/>
      <c r="T60" s="3"/>
    </row>
    <row r="61" spans="1:20" ht="18" customHeight="1" x14ac:dyDescent="0.3">
      <c r="A61" s="3"/>
      <c r="B61" s="2251"/>
      <c r="C61" s="233" t="s">
        <v>31</v>
      </c>
      <c r="D61" s="223">
        <f t="shared" si="0"/>
        <v>1.5</v>
      </c>
      <c r="E61" s="223">
        <f>'R-Definição'!M27</f>
        <v>0</v>
      </c>
      <c r="F61" s="223">
        <f>'R-Definição'!N27</f>
        <v>0</v>
      </c>
      <c r="G61" s="223">
        <f>'R-Definição'!O27</f>
        <v>1.5</v>
      </c>
      <c r="H61" s="878"/>
      <c r="I61" s="877"/>
      <c r="J61" s="877"/>
      <c r="K61" s="877"/>
      <c r="L61" s="3"/>
      <c r="M61" s="3"/>
      <c r="N61" s="3"/>
      <c r="O61" s="3"/>
      <c r="P61" s="3"/>
      <c r="Q61" s="3"/>
      <c r="R61" s="3"/>
      <c r="S61" s="3"/>
      <c r="T61" s="3"/>
    </row>
    <row r="62" spans="1:20" ht="18" customHeight="1" x14ac:dyDescent="0.3">
      <c r="A62" s="3"/>
      <c r="B62" s="2251"/>
      <c r="C62" s="233" t="s">
        <v>32</v>
      </c>
      <c r="D62" s="223">
        <f t="shared" si="0"/>
        <v>1.4375</v>
      </c>
      <c r="E62" s="223">
        <f>'R-Definição'!M28</f>
        <v>0</v>
      </c>
      <c r="F62" s="223">
        <f>'R-Definição'!N28</f>
        <v>0</v>
      </c>
      <c r="G62" s="223">
        <f>'R-Definição'!O28</f>
        <v>1.4375</v>
      </c>
      <c r="H62" s="878"/>
      <c r="I62" s="877"/>
      <c r="J62" s="878">
        <f>'R-Definição'!O107</f>
        <v>0</v>
      </c>
      <c r="K62" s="877"/>
      <c r="L62" s="3"/>
      <c r="M62" s="3"/>
      <c r="N62" s="3"/>
      <c r="O62" s="3"/>
      <c r="P62" s="3"/>
      <c r="Q62" s="3"/>
      <c r="R62" s="3"/>
      <c r="S62" s="3"/>
      <c r="T62" s="3"/>
    </row>
    <row r="63" spans="1:20" ht="18" customHeight="1" x14ac:dyDescent="0.3">
      <c r="A63" s="3"/>
      <c r="B63" s="2251"/>
      <c r="C63" s="233" t="s">
        <v>84</v>
      </c>
      <c r="D63" s="223">
        <f t="shared" si="0"/>
        <v>0.375</v>
      </c>
      <c r="E63" s="223">
        <f>'R-Definição'!M29</f>
        <v>0</v>
      </c>
      <c r="F63" s="223">
        <f>'R-Definição'!N29</f>
        <v>0</v>
      </c>
      <c r="G63" s="223">
        <f>'R-Definição'!O29</f>
        <v>0.375</v>
      </c>
      <c r="H63" s="878"/>
      <c r="I63" s="877"/>
      <c r="J63" s="878">
        <f>'R-Definição'!O108</f>
        <v>0</v>
      </c>
      <c r="K63" s="877"/>
      <c r="L63" s="3"/>
      <c r="M63" s="3"/>
      <c r="N63" s="3"/>
      <c r="O63" s="3"/>
      <c r="P63" s="3"/>
      <c r="Q63" s="3"/>
      <c r="R63" s="3"/>
      <c r="S63" s="3"/>
      <c r="T63" s="3"/>
    </row>
    <row r="64" spans="1:20" ht="18" customHeight="1" x14ac:dyDescent="0.3">
      <c r="A64" s="3"/>
      <c r="B64" s="2251"/>
      <c r="C64" s="753" t="s">
        <v>513</v>
      </c>
      <c r="D64" s="241">
        <f t="shared" si="0"/>
        <v>19.9375</v>
      </c>
      <c r="E64" s="242">
        <f>SUM(E58:E63)</f>
        <v>0</v>
      </c>
      <c r="F64" s="242">
        <f>SUM(F58:F63)</f>
        <v>0</v>
      </c>
      <c r="G64" s="242">
        <f>SUM(G58:G63)</f>
        <v>19.9375</v>
      </c>
      <c r="H64" s="235"/>
      <c r="I64" s="517"/>
      <c r="J64" s="243">
        <f>SUM(J58:J63)</f>
        <v>0</v>
      </c>
      <c r="K64" s="517"/>
      <c r="L64" s="3"/>
      <c r="M64" s="3"/>
      <c r="N64" s="3"/>
      <c r="O64" s="3"/>
      <c r="P64" s="3"/>
      <c r="Q64" s="3"/>
      <c r="R64" s="3"/>
      <c r="S64" s="3"/>
      <c r="T64" s="3"/>
    </row>
    <row r="65" spans="1:20" ht="18" customHeight="1" x14ac:dyDescent="0.3">
      <c r="A65" s="3"/>
      <c r="B65" s="2251"/>
      <c r="C65" s="515" t="s">
        <v>21</v>
      </c>
      <c r="D65" s="223"/>
      <c r="E65" s="877"/>
      <c r="F65" s="877"/>
      <c r="G65" s="877"/>
      <c r="H65" s="878"/>
      <c r="I65" s="877"/>
      <c r="J65" s="877"/>
      <c r="K65" s="877"/>
      <c r="L65" s="3"/>
      <c r="M65" s="3"/>
      <c r="N65" s="3"/>
      <c r="O65" s="3"/>
      <c r="P65" s="3"/>
      <c r="Q65" s="3"/>
      <c r="R65" s="3"/>
      <c r="S65" s="3"/>
      <c r="T65" s="3"/>
    </row>
    <row r="66" spans="1:20" ht="18" customHeight="1" x14ac:dyDescent="0.3">
      <c r="A66" s="3"/>
      <c r="B66" s="2250" t="s">
        <v>231</v>
      </c>
      <c r="C66" s="233" t="s">
        <v>232</v>
      </c>
      <c r="D66" s="223">
        <f>SUM(E66:K66)</f>
        <v>49.15124999999999</v>
      </c>
      <c r="E66" s="877"/>
      <c r="F66" s="877"/>
      <c r="G66" s="877"/>
      <c r="H66" s="878"/>
      <c r="I66" s="878">
        <f>'R-Definição'!O67</f>
        <v>49.15124999999999</v>
      </c>
      <c r="J66" s="877"/>
      <c r="K66" s="877"/>
      <c r="L66" s="3"/>
      <c r="M66" s="3"/>
      <c r="N66" s="3"/>
      <c r="O66" s="3"/>
      <c r="P66" s="3"/>
      <c r="Q66" s="3"/>
      <c r="R66" s="3"/>
      <c r="S66" s="3"/>
      <c r="T66" s="3"/>
    </row>
    <row r="67" spans="1:20" ht="18" customHeight="1" x14ac:dyDescent="0.3">
      <c r="A67" s="3"/>
      <c r="B67" s="2251"/>
      <c r="C67" s="233" t="s">
        <v>233</v>
      </c>
      <c r="D67" s="223">
        <f>SUM(E67:K67)</f>
        <v>0</v>
      </c>
      <c r="E67" s="877"/>
      <c r="F67" s="877"/>
      <c r="G67" s="877"/>
      <c r="H67" s="878"/>
      <c r="I67" s="878">
        <f>IF('R-Definição'!I72&lt;&gt;"Cobertura de aterro sanitário",'R-Definição'!O68,0)</f>
        <v>0</v>
      </c>
      <c r="J67" s="877"/>
      <c r="K67" s="877"/>
      <c r="L67" s="3"/>
      <c r="M67" s="3"/>
      <c r="N67" s="3"/>
      <c r="O67" s="3"/>
      <c r="P67" s="3"/>
      <c r="Q67" s="3"/>
      <c r="R67" s="3"/>
      <c r="S67" s="3"/>
      <c r="T67" s="3"/>
    </row>
    <row r="68" spans="1:20" ht="18" customHeight="1" x14ac:dyDescent="0.3">
      <c r="A68" s="3"/>
      <c r="B68" s="2251"/>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3">
      <c r="A69" s="3"/>
      <c r="B69" s="2251"/>
      <c r="C69" s="753" t="s">
        <v>554</v>
      </c>
      <c r="D69" s="241">
        <f>SUM(D66:D67)</f>
        <v>49.15124999999999</v>
      </c>
      <c r="E69" s="515"/>
      <c r="F69" s="515"/>
      <c r="G69" s="515"/>
      <c r="H69" s="235"/>
      <c r="I69" s="235">
        <f>SUM(I66:I68)</f>
        <v>49.15124999999999</v>
      </c>
      <c r="J69" s="517"/>
      <c r="K69" s="517"/>
      <c r="L69" s="3"/>
      <c r="M69" s="3"/>
      <c r="N69" s="3"/>
      <c r="O69" s="3"/>
      <c r="P69" s="3"/>
      <c r="Q69" s="3"/>
      <c r="R69" s="3"/>
      <c r="S69" s="3"/>
      <c r="T69" s="3"/>
    </row>
    <row r="70" spans="1:20" ht="18" customHeight="1" x14ac:dyDescent="0.3">
      <c r="A70" s="3"/>
      <c r="B70" s="2251"/>
      <c r="C70" s="515" t="s">
        <v>21</v>
      </c>
      <c r="D70" s="223"/>
      <c r="E70" s="877"/>
      <c r="F70" s="877"/>
      <c r="G70" s="877"/>
      <c r="H70" s="878"/>
      <c r="I70" s="877"/>
      <c r="J70" s="877"/>
      <c r="K70" s="877"/>
      <c r="L70" s="3"/>
      <c r="M70" s="3"/>
      <c r="N70" s="3"/>
      <c r="O70" s="3"/>
      <c r="P70" s="3"/>
      <c r="Q70" s="3"/>
      <c r="R70" s="3"/>
      <c r="S70" s="3"/>
      <c r="T70" s="3"/>
    </row>
    <row r="71" spans="1:20" ht="18" customHeight="1" x14ac:dyDescent="0.3">
      <c r="A71" s="3"/>
      <c r="B71" s="2251"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3">
      <c r="A72" s="3"/>
      <c r="B72" s="2251"/>
      <c r="C72" s="233" t="s">
        <v>235</v>
      </c>
      <c r="D72" s="223">
        <f>SUM(E72:K72)</f>
        <v>44.887500000000003</v>
      </c>
      <c r="E72" s="877"/>
      <c r="F72" s="877"/>
      <c r="G72" s="877"/>
      <c r="H72" s="878">
        <f>'R-Definição'!O50</f>
        <v>44.887500000000003</v>
      </c>
      <c r="I72" s="877"/>
      <c r="J72" s="877"/>
      <c r="K72" s="877"/>
      <c r="L72" s="3"/>
      <c r="M72" s="3"/>
      <c r="N72" s="3"/>
      <c r="O72" s="3"/>
      <c r="P72" s="3"/>
      <c r="Q72" s="3"/>
      <c r="R72" s="3"/>
      <c r="S72" s="3"/>
      <c r="T72" s="3"/>
    </row>
    <row r="73" spans="1:20" ht="18" customHeight="1" x14ac:dyDescent="0.3">
      <c r="A73" s="3"/>
      <c r="B73" s="2251"/>
      <c r="C73" s="515" t="s">
        <v>555</v>
      </c>
      <c r="D73" s="241">
        <f>SUM(D71:D72)</f>
        <v>44.887500000000003</v>
      </c>
      <c r="E73" s="515"/>
      <c r="F73" s="515"/>
      <c r="G73" s="515"/>
      <c r="H73" s="235"/>
      <c r="I73" s="517"/>
      <c r="J73" s="517"/>
      <c r="K73" s="517"/>
      <c r="L73" s="3"/>
      <c r="M73" s="3"/>
      <c r="N73" s="3"/>
      <c r="O73" s="3"/>
      <c r="P73" s="3"/>
      <c r="Q73" s="3"/>
      <c r="R73" s="3"/>
      <c r="S73" s="3"/>
      <c r="T73" s="3"/>
    </row>
    <row r="74" spans="1:20" ht="18" customHeight="1" x14ac:dyDescent="0.3">
      <c r="A74" s="3"/>
      <c r="B74" s="233" t="s">
        <v>236</v>
      </c>
      <c r="C74" s="233" t="s">
        <v>237</v>
      </c>
      <c r="D74" s="873">
        <f>SUM(E74:K74)</f>
        <v>0</v>
      </c>
      <c r="E74" s="873"/>
      <c r="F74" s="873"/>
      <c r="G74" s="873"/>
      <c r="H74" s="874"/>
      <c r="I74" s="873">
        <f>'R-Definição'!O69</f>
        <v>0</v>
      </c>
      <c r="J74" s="873">
        <f>'R-Definição'!O111</f>
        <v>0</v>
      </c>
      <c r="K74" s="873">
        <f>'R-Definição'!J127</f>
        <v>0</v>
      </c>
      <c r="L74" s="3"/>
      <c r="M74" s="3"/>
      <c r="N74" s="3"/>
      <c r="O74" s="3"/>
      <c r="P74" s="3"/>
      <c r="Q74" s="3"/>
      <c r="R74" s="3"/>
      <c r="S74" s="3"/>
      <c r="T74" s="3"/>
    </row>
    <row r="75" spans="1:20" ht="18" customHeight="1" x14ac:dyDescent="0.3">
      <c r="A75" s="3"/>
      <c r="B75" s="233" t="s">
        <v>238</v>
      </c>
      <c r="C75" s="233" t="s">
        <v>753</v>
      </c>
      <c r="D75" s="873">
        <f>SUM(E75:K75)</f>
        <v>0</v>
      </c>
      <c r="E75" s="873"/>
      <c r="F75" s="873"/>
      <c r="G75" s="873"/>
      <c r="H75" s="874"/>
      <c r="I75" s="873">
        <f>'R-Definição'!O70</f>
        <v>0</v>
      </c>
      <c r="J75" s="873"/>
      <c r="K75" s="873">
        <f>'R-Definição'!J128</f>
        <v>0</v>
      </c>
      <c r="L75" s="3"/>
      <c r="M75" s="3"/>
      <c r="N75" s="3"/>
      <c r="O75" s="3"/>
      <c r="P75" s="3"/>
      <c r="Q75" s="3"/>
      <c r="R75" s="3"/>
      <c r="S75" s="3"/>
      <c r="T75" s="3"/>
    </row>
    <row r="76" spans="1:20" ht="18" customHeight="1" x14ac:dyDescent="0.3">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3">
      <c r="A77" s="3"/>
      <c r="B77" s="3"/>
      <c r="C77" s="3"/>
      <c r="D77" s="3"/>
      <c r="E77" s="3"/>
      <c r="F77" s="3"/>
      <c r="G77" s="3"/>
      <c r="H77" s="3"/>
      <c r="I77" s="3"/>
      <c r="J77" s="3"/>
      <c r="K77" s="3"/>
      <c r="L77" s="3"/>
      <c r="M77" s="3"/>
      <c r="N77" s="3"/>
      <c r="O77" s="3"/>
      <c r="P77" s="3"/>
      <c r="Q77" s="3"/>
      <c r="R77" s="3"/>
      <c r="S77" s="3"/>
      <c r="T77" s="3"/>
    </row>
    <row r="78" spans="1:20" ht="12.75" customHeight="1" x14ac:dyDescent="0.3">
      <c r="A78" s="3"/>
      <c r="B78" s="3"/>
      <c r="C78" s="3"/>
      <c r="D78" s="3"/>
      <c r="E78" s="3"/>
      <c r="F78" s="3"/>
      <c r="G78" s="3"/>
      <c r="H78" s="3"/>
      <c r="I78" s="3"/>
      <c r="J78" s="3"/>
      <c r="K78" s="3"/>
      <c r="L78" s="3"/>
      <c r="M78" s="3"/>
      <c r="N78" s="3"/>
      <c r="O78" s="3"/>
      <c r="P78" s="3"/>
      <c r="Q78" s="3"/>
      <c r="R78" s="3"/>
      <c r="S78" s="3"/>
      <c r="T78" s="3"/>
    </row>
    <row r="79" spans="1:20" ht="13.5" customHeight="1" x14ac:dyDescent="0.3">
      <c r="A79" s="3"/>
      <c r="B79" s="3"/>
      <c r="C79" s="3"/>
      <c r="D79" s="3"/>
      <c r="E79" s="3"/>
      <c r="F79" s="3"/>
      <c r="G79" s="3"/>
      <c r="H79" s="3"/>
      <c r="I79" s="3"/>
      <c r="J79" s="3"/>
      <c r="K79" s="3"/>
      <c r="L79" s="3"/>
      <c r="M79" s="3"/>
      <c r="N79" s="3"/>
      <c r="O79" s="3"/>
      <c r="P79" s="3"/>
      <c r="Q79" s="3"/>
      <c r="R79" s="3"/>
      <c r="S79" s="3"/>
      <c r="T79" s="3"/>
    </row>
    <row r="80" spans="1:20" ht="13.5" customHeight="1" x14ac:dyDescent="0.3">
      <c r="A80" s="3"/>
      <c r="B80" s="3"/>
      <c r="C80" s="3"/>
      <c r="D80" s="3"/>
      <c r="E80" s="3"/>
      <c r="F80" s="3"/>
      <c r="G80" s="3"/>
      <c r="H80" s="3"/>
      <c r="I80" s="3"/>
      <c r="J80" s="3"/>
      <c r="K80" s="3"/>
      <c r="L80" s="3"/>
      <c r="M80" s="3"/>
      <c r="N80" s="3"/>
      <c r="O80" s="3"/>
      <c r="P80" s="3"/>
      <c r="Q80" s="3"/>
      <c r="R80" s="3"/>
      <c r="S80" s="3"/>
      <c r="T80" s="3"/>
    </row>
    <row r="81" spans="1:20" ht="13.5" customHeight="1" x14ac:dyDescent="0.3">
      <c r="A81" s="3"/>
      <c r="B81" s="3"/>
      <c r="C81" s="3"/>
      <c r="D81" s="3"/>
      <c r="E81" s="3"/>
      <c r="F81" s="3"/>
      <c r="G81" s="3"/>
      <c r="H81" s="3"/>
      <c r="I81" s="3"/>
      <c r="J81" s="3"/>
      <c r="K81" s="3"/>
      <c r="L81" s="3"/>
      <c r="M81" s="3"/>
      <c r="N81" s="3"/>
      <c r="O81" s="3"/>
      <c r="P81" s="3"/>
      <c r="Q81" s="3"/>
      <c r="R81" s="3"/>
      <c r="S81" s="3"/>
      <c r="T81" s="3"/>
    </row>
    <row r="82" spans="1:20" ht="13.5" customHeight="1" x14ac:dyDescent="0.3">
      <c r="A82" s="3"/>
      <c r="B82" s="3"/>
      <c r="C82" s="3"/>
      <c r="D82" s="3"/>
      <c r="E82" s="3"/>
      <c r="F82" s="3"/>
      <c r="G82" s="3"/>
      <c r="H82" s="3"/>
      <c r="I82" s="3"/>
      <c r="J82" s="3"/>
      <c r="K82" s="3"/>
      <c r="L82" s="3"/>
      <c r="M82" s="3"/>
      <c r="N82" s="3"/>
      <c r="O82" s="3"/>
      <c r="P82" s="3"/>
      <c r="Q82" s="3"/>
      <c r="R82" s="3"/>
      <c r="S82" s="3"/>
      <c r="T82" s="3"/>
    </row>
    <row r="83" spans="1:20" ht="13.5" customHeight="1" x14ac:dyDescent="0.3">
      <c r="A83" s="3"/>
      <c r="B83" s="3"/>
      <c r="C83" s="3"/>
      <c r="D83" s="3"/>
      <c r="E83" s="3"/>
      <c r="F83" s="3"/>
      <c r="G83" s="3"/>
      <c r="H83" s="3"/>
      <c r="I83" s="3"/>
      <c r="J83" s="3"/>
      <c r="K83" s="3"/>
      <c r="L83" s="3"/>
      <c r="M83" s="3"/>
      <c r="N83" s="3"/>
      <c r="O83" s="3"/>
      <c r="P83" s="3"/>
      <c r="Q83" s="3"/>
      <c r="R83" s="3"/>
      <c r="S83" s="3"/>
      <c r="T83" s="3"/>
    </row>
    <row r="84" spans="1:20" ht="13.5" customHeight="1" x14ac:dyDescent="0.3">
      <c r="A84" s="3"/>
      <c r="B84" s="3"/>
      <c r="C84" s="3"/>
      <c r="D84" s="3"/>
      <c r="E84" s="3"/>
      <c r="F84" s="3"/>
      <c r="G84" s="3"/>
      <c r="H84" s="3"/>
      <c r="I84" s="3"/>
      <c r="J84" s="3"/>
      <c r="K84" s="3"/>
      <c r="L84" s="3"/>
      <c r="M84" s="3"/>
      <c r="N84" s="3"/>
      <c r="O84" s="3"/>
      <c r="P84" s="3"/>
      <c r="Q84" s="3"/>
      <c r="R84" s="3"/>
      <c r="S84" s="3"/>
      <c r="T84" s="3"/>
    </row>
    <row r="85" spans="1:20" ht="13.5" customHeight="1" x14ac:dyDescent="0.3">
      <c r="A85" s="3"/>
      <c r="B85" s="3"/>
      <c r="C85" s="3"/>
      <c r="D85" s="3"/>
      <c r="E85" s="3"/>
      <c r="F85" s="3"/>
      <c r="G85" s="3"/>
      <c r="H85" s="3"/>
      <c r="I85" s="3"/>
      <c r="J85" s="23"/>
      <c r="K85" s="23"/>
      <c r="L85" s="3"/>
      <c r="M85" s="3"/>
      <c r="N85" s="3"/>
      <c r="O85" s="3"/>
      <c r="P85" s="3"/>
      <c r="Q85" s="3"/>
      <c r="R85" s="3"/>
      <c r="S85" s="3"/>
      <c r="T85" s="3"/>
    </row>
    <row r="86" spans="1:20" ht="13.5" customHeight="1" x14ac:dyDescent="0.3">
      <c r="A86" s="3"/>
      <c r="B86" s="3"/>
      <c r="C86" s="3"/>
      <c r="D86" s="3"/>
      <c r="E86" s="3"/>
      <c r="F86" s="3"/>
      <c r="G86" s="3"/>
      <c r="H86" s="3"/>
      <c r="I86" s="3"/>
      <c r="J86" s="23"/>
      <c r="K86" s="23"/>
      <c r="L86" s="23"/>
      <c r="M86" s="3"/>
      <c r="N86" s="3"/>
      <c r="O86" s="3"/>
      <c r="P86" s="3"/>
      <c r="Q86" s="3"/>
      <c r="R86" s="3"/>
      <c r="S86" s="3"/>
      <c r="T86" s="3"/>
    </row>
    <row r="87" spans="1:20" ht="13.5" customHeight="1" x14ac:dyDescent="0.3">
      <c r="A87" s="3"/>
      <c r="B87" s="3"/>
      <c r="C87" s="3"/>
      <c r="D87" s="3"/>
      <c r="E87" s="3"/>
      <c r="F87" s="20"/>
      <c r="G87" s="3"/>
      <c r="H87" s="3"/>
      <c r="I87" s="3"/>
      <c r="J87" s="3"/>
      <c r="K87" s="3"/>
      <c r="L87" s="23"/>
      <c r="M87" s="3"/>
      <c r="N87" s="3"/>
      <c r="O87" s="3"/>
      <c r="P87" s="3"/>
      <c r="Q87" s="3"/>
      <c r="R87" s="3"/>
      <c r="S87" s="3"/>
      <c r="T87" s="3"/>
    </row>
    <row r="88" spans="1:20" ht="13.5" customHeight="1" x14ac:dyDescent="0.3">
      <c r="A88" s="3"/>
      <c r="B88" s="3"/>
      <c r="C88" s="3"/>
      <c r="D88" s="3"/>
      <c r="E88" s="3"/>
      <c r="F88" s="3"/>
      <c r="G88" s="3"/>
      <c r="H88" s="3"/>
      <c r="I88" s="3"/>
      <c r="J88" s="3"/>
      <c r="K88" s="3"/>
      <c r="L88" s="3"/>
      <c r="M88" s="3"/>
      <c r="N88" s="3"/>
      <c r="O88" s="3"/>
      <c r="P88" s="3"/>
      <c r="Q88" s="3"/>
      <c r="R88" s="3"/>
      <c r="S88" s="3"/>
      <c r="T88" s="3"/>
    </row>
    <row r="89" spans="1:20" ht="13.5" customHeight="1" x14ac:dyDescent="0.3">
      <c r="A89" s="3"/>
      <c r="B89" s="3"/>
      <c r="C89" s="3"/>
      <c r="D89" s="3"/>
      <c r="E89" s="3"/>
      <c r="F89" s="3"/>
      <c r="G89" s="3"/>
      <c r="H89" s="3"/>
      <c r="I89" s="3"/>
      <c r="J89" s="3"/>
      <c r="K89" s="3"/>
      <c r="L89" s="3"/>
      <c r="M89" s="3"/>
      <c r="N89" s="3"/>
      <c r="O89" s="3"/>
      <c r="P89" s="3"/>
      <c r="Q89" s="3"/>
      <c r="R89" s="3"/>
      <c r="S89" s="3"/>
      <c r="T89" s="3"/>
    </row>
    <row r="90" spans="1:20" ht="13.5" customHeight="1" x14ac:dyDescent="0.3">
      <c r="A90" s="3"/>
      <c r="B90" s="3"/>
      <c r="C90" s="3"/>
      <c r="D90" s="3"/>
      <c r="E90" s="3"/>
      <c r="F90" s="3"/>
      <c r="G90" s="3"/>
      <c r="H90" s="3"/>
      <c r="I90" s="3"/>
      <c r="J90" s="3"/>
      <c r="K90" s="3"/>
      <c r="L90" s="3"/>
      <c r="M90" s="3"/>
      <c r="N90" s="3"/>
      <c r="O90" s="3"/>
      <c r="P90" s="3"/>
      <c r="Q90" s="3"/>
      <c r="R90" s="3"/>
      <c r="S90" s="3"/>
      <c r="T90" s="3"/>
    </row>
    <row r="91" spans="1:20" ht="13.5" customHeight="1" x14ac:dyDescent="0.3">
      <c r="A91" s="3"/>
      <c r="B91" s="3"/>
      <c r="C91" s="3"/>
      <c r="D91" s="3"/>
      <c r="E91" s="3"/>
      <c r="F91" s="3"/>
      <c r="G91" s="3"/>
      <c r="H91" s="3"/>
      <c r="I91" s="3"/>
      <c r="J91" s="3"/>
      <c r="K91" s="3"/>
      <c r="L91" s="3"/>
      <c r="M91" s="3"/>
      <c r="N91" s="3"/>
      <c r="O91" s="3"/>
      <c r="P91" s="3"/>
      <c r="Q91" s="3"/>
      <c r="R91" s="3"/>
      <c r="S91" s="3"/>
      <c r="T91" s="3"/>
    </row>
    <row r="92" spans="1:20" ht="6" customHeight="1" x14ac:dyDescent="0.3">
      <c r="A92" s="3"/>
      <c r="B92" s="3"/>
      <c r="C92" s="3"/>
      <c r="D92" s="3"/>
      <c r="E92" s="3"/>
      <c r="F92" s="3"/>
      <c r="G92" s="3"/>
      <c r="H92" s="3"/>
      <c r="I92" s="3"/>
      <c r="J92" s="3"/>
      <c r="K92" s="3"/>
      <c r="L92" s="3"/>
      <c r="M92" s="3"/>
      <c r="N92" s="3"/>
      <c r="O92" s="3"/>
      <c r="P92" s="3"/>
      <c r="Q92" s="3"/>
      <c r="R92" s="3"/>
      <c r="S92" s="3"/>
      <c r="T92" s="3"/>
    </row>
    <row r="93" spans="1:20" ht="13.5" customHeight="1" x14ac:dyDescent="0.3">
      <c r="A93" s="3"/>
      <c r="B93" s="3"/>
      <c r="C93" s="3"/>
      <c r="D93" s="3"/>
      <c r="E93" s="3"/>
      <c r="F93" s="3"/>
      <c r="G93" s="3"/>
      <c r="H93" s="3"/>
      <c r="I93" s="3"/>
      <c r="J93" s="3"/>
      <c r="K93" s="3"/>
      <c r="L93" s="3"/>
      <c r="M93" s="3"/>
      <c r="N93" s="3"/>
      <c r="O93" s="3"/>
      <c r="P93" s="3"/>
      <c r="Q93" s="3"/>
      <c r="R93" s="3"/>
      <c r="S93" s="3"/>
      <c r="T93" s="3"/>
    </row>
    <row r="94" spans="1:20" ht="13.5" customHeight="1" x14ac:dyDescent="0.3">
      <c r="A94" s="3"/>
      <c r="B94" s="3"/>
      <c r="C94" s="3"/>
      <c r="D94" s="3"/>
      <c r="E94" s="3"/>
      <c r="F94" s="3"/>
      <c r="G94" s="3"/>
      <c r="H94" s="3"/>
      <c r="I94" s="3"/>
      <c r="J94" s="3"/>
      <c r="K94" s="3"/>
      <c r="L94" s="3"/>
      <c r="M94" s="3"/>
      <c r="N94" s="3"/>
      <c r="O94" s="3"/>
      <c r="P94" s="3"/>
      <c r="Q94" s="3"/>
      <c r="R94" s="3"/>
      <c r="S94" s="3"/>
      <c r="T94" s="3"/>
    </row>
    <row r="95" spans="1:20" ht="13.5" customHeight="1" x14ac:dyDescent="0.3">
      <c r="A95" s="3"/>
      <c r="B95" s="3"/>
      <c r="C95" s="3"/>
      <c r="D95" s="3"/>
      <c r="E95" s="3"/>
      <c r="F95" s="3"/>
      <c r="G95" s="3"/>
      <c r="H95" s="3"/>
      <c r="I95" s="3"/>
      <c r="J95" s="3"/>
      <c r="K95" s="3"/>
      <c r="L95" s="3"/>
      <c r="M95" s="3"/>
      <c r="N95" s="3"/>
      <c r="O95" s="3"/>
      <c r="P95" s="3"/>
      <c r="Q95" s="3"/>
      <c r="R95" s="3"/>
      <c r="S95" s="3"/>
      <c r="T95" s="3"/>
    </row>
    <row r="96" spans="1:20" ht="13.5" customHeight="1" x14ac:dyDescent="0.3">
      <c r="A96" s="3"/>
      <c r="B96" s="3"/>
      <c r="C96" s="3"/>
      <c r="D96" s="3"/>
      <c r="E96" s="3"/>
      <c r="F96" s="3"/>
      <c r="G96" s="3"/>
      <c r="H96" s="3"/>
      <c r="I96" s="3"/>
      <c r="J96" s="3"/>
      <c r="K96" s="3"/>
      <c r="L96" s="3"/>
      <c r="M96" s="3"/>
      <c r="N96" s="3"/>
      <c r="O96" s="3"/>
      <c r="P96" s="3"/>
      <c r="Q96" s="3"/>
      <c r="R96" s="3"/>
      <c r="S96" s="3"/>
      <c r="T96" s="3"/>
    </row>
    <row r="97" spans="1:20" ht="3.75" customHeight="1" x14ac:dyDescent="0.3">
      <c r="A97" s="3"/>
      <c r="B97" s="3"/>
      <c r="C97" s="3"/>
      <c r="D97" s="3"/>
      <c r="E97" s="3"/>
      <c r="F97" s="3"/>
      <c r="G97" s="3"/>
      <c r="H97" s="3"/>
      <c r="I97" s="3"/>
      <c r="J97" s="3"/>
      <c r="K97" s="3"/>
      <c r="L97" s="3"/>
      <c r="M97" s="3"/>
      <c r="N97" s="3"/>
      <c r="O97" s="3"/>
      <c r="P97" s="3"/>
      <c r="Q97" s="3"/>
      <c r="R97" s="3"/>
      <c r="S97" s="3"/>
      <c r="T97" s="3"/>
    </row>
    <row r="98" spans="1:20" ht="13.5" customHeight="1" x14ac:dyDescent="0.3">
      <c r="A98" s="3"/>
      <c r="B98" s="3"/>
      <c r="C98" s="3"/>
      <c r="D98" s="3"/>
      <c r="E98" s="3"/>
      <c r="F98" s="3"/>
      <c r="G98" s="3"/>
      <c r="H98" s="3"/>
      <c r="I98" s="3"/>
      <c r="J98" s="3"/>
      <c r="K98" s="3"/>
      <c r="L98" s="3"/>
      <c r="M98" s="3"/>
      <c r="N98" s="3"/>
      <c r="O98" s="3"/>
      <c r="P98" s="3"/>
      <c r="Q98" s="3"/>
      <c r="R98" s="3"/>
      <c r="S98" s="3"/>
      <c r="T98" s="3"/>
    </row>
    <row r="99" spans="1:20" ht="13.5" customHeight="1" x14ac:dyDescent="0.3">
      <c r="A99" s="3"/>
      <c r="B99" s="3"/>
      <c r="C99" s="3"/>
      <c r="D99" s="3"/>
      <c r="E99" s="3"/>
      <c r="F99" s="3"/>
      <c r="G99" s="3"/>
      <c r="H99" s="3"/>
      <c r="I99" s="3"/>
      <c r="J99" s="3"/>
      <c r="K99" s="3"/>
      <c r="L99" s="3"/>
      <c r="M99" s="3"/>
      <c r="N99" s="3"/>
      <c r="O99" s="3"/>
      <c r="P99" s="3"/>
      <c r="Q99" s="3"/>
      <c r="R99" s="3"/>
      <c r="S99" s="3"/>
      <c r="T99" s="3"/>
    </row>
    <row r="100" spans="1:20" ht="13.5" customHeight="1" x14ac:dyDescent="0.3">
      <c r="A100" s="3"/>
      <c r="B100" s="3"/>
      <c r="C100" s="3"/>
      <c r="D100" s="3"/>
      <c r="E100" s="3"/>
      <c r="F100" s="3"/>
      <c r="G100" s="3"/>
      <c r="H100" s="3"/>
      <c r="I100" s="3"/>
      <c r="J100" s="3"/>
      <c r="K100" s="3"/>
      <c r="L100" s="3"/>
      <c r="M100" s="3"/>
      <c r="N100" s="3"/>
      <c r="O100" s="3"/>
      <c r="P100" s="3"/>
      <c r="Q100" s="3"/>
      <c r="R100" s="3"/>
      <c r="S100" s="3"/>
      <c r="T100" s="3"/>
    </row>
    <row r="101" spans="1:20" ht="13.5" customHeight="1" x14ac:dyDescent="0.3">
      <c r="A101" s="3"/>
      <c r="B101" s="3"/>
      <c r="C101" s="3"/>
      <c r="D101" s="3"/>
      <c r="E101" s="3"/>
      <c r="F101" s="3"/>
      <c r="G101" s="3"/>
      <c r="H101" s="3"/>
      <c r="I101" s="3"/>
      <c r="J101" s="3"/>
      <c r="K101" s="3"/>
      <c r="L101" s="3"/>
      <c r="M101" s="3"/>
      <c r="N101" s="3"/>
      <c r="O101" s="3"/>
      <c r="P101" s="3"/>
      <c r="Q101" s="3"/>
      <c r="R101" s="3"/>
      <c r="S101" s="3"/>
      <c r="T101" s="3"/>
    </row>
    <row r="102" spans="1:20" ht="13.5" customHeight="1" x14ac:dyDescent="0.3">
      <c r="A102" s="3"/>
      <c r="B102" s="3"/>
      <c r="C102" s="3"/>
      <c r="D102" s="3"/>
      <c r="E102" s="3"/>
      <c r="F102" s="3"/>
      <c r="G102" s="3"/>
      <c r="H102" s="3"/>
      <c r="I102" s="3"/>
      <c r="J102" s="3"/>
      <c r="K102" s="3"/>
      <c r="L102" s="3"/>
      <c r="M102" s="3"/>
      <c r="N102" s="3"/>
      <c r="O102" s="3"/>
      <c r="P102" s="3"/>
      <c r="Q102" s="3"/>
      <c r="R102" s="3"/>
      <c r="S102" s="3"/>
      <c r="T102" s="3"/>
    </row>
    <row r="103" spans="1:20" ht="13.5" customHeight="1" x14ac:dyDescent="0.3">
      <c r="A103" s="3"/>
      <c r="B103" s="3"/>
      <c r="C103" s="3"/>
      <c r="D103" s="3"/>
      <c r="E103" s="3"/>
      <c r="F103" s="3"/>
      <c r="G103" s="3"/>
      <c r="H103" s="3"/>
      <c r="I103" s="3"/>
      <c r="J103" s="3"/>
      <c r="K103" s="3"/>
      <c r="L103" s="3"/>
      <c r="M103" s="3"/>
      <c r="N103" s="3"/>
      <c r="O103" s="3"/>
      <c r="P103" s="3"/>
      <c r="Q103" s="3"/>
      <c r="R103" s="3"/>
      <c r="S103" s="3"/>
      <c r="T103" s="3"/>
    </row>
    <row r="104" spans="1:20" ht="13.5" customHeight="1" x14ac:dyDescent="0.3">
      <c r="A104" s="3"/>
      <c r="B104" s="3"/>
      <c r="C104" s="3"/>
      <c r="D104" s="3"/>
      <c r="E104" s="3"/>
      <c r="F104" s="3"/>
      <c r="G104" s="3"/>
      <c r="H104" s="3"/>
      <c r="I104" s="3"/>
      <c r="J104" s="3"/>
      <c r="K104" s="3"/>
      <c r="L104" s="3"/>
      <c r="M104" s="3"/>
      <c r="N104" s="3"/>
      <c r="O104" s="3"/>
      <c r="P104" s="3"/>
      <c r="Q104" s="3"/>
      <c r="R104" s="3"/>
      <c r="S104" s="3"/>
      <c r="T104" s="3"/>
    </row>
    <row r="105" spans="1:20" ht="3" customHeight="1" x14ac:dyDescent="0.3">
      <c r="A105" s="3"/>
      <c r="B105" s="3"/>
      <c r="C105" s="3"/>
      <c r="D105" s="3"/>
      <c r="E105" s="3"/>
      <c r="F105" s="3"/>
      <c r="G105" s="3"/>
      <c r="H105" s="3"/>
      <c r="I105" s="3"/>
      <c r="J105" s="3"/>
      <c r="K105" s="3"/>
      <c r="L105" s="3"/>
      <c r="M105" s="3"/>
      <c r="N105" s="3"/>
      <c r="O105" s="3"/>
      <c r="P105" s="3"/>
      <c r="Q105" s="3"/>
      <c r="R105" s="3"/>
      <c r="S105" s="3"/>
      <c r="T105" s="3"/>
    </row>
    <row r="106" spans="1:20" ht="13.5" customHeight="1" x14ac:dyDescent="0.3">
      <c r="A106" s="3"/>
      <c r="B106" s="3"/>
      <c r="C106" s="3"/>
      <c r="D106" s="3"/>
      <c r="E106" s="3"/>
      <c r="F106" s="3"/>
      <c r="G106" s="3"/>
      <c r="H106" s="3"/>
      <c r="I106" s="3"/>
      <c r="J106" s="3"/>
      <c r="K106" s="3"/>
      <c r="L106" s="3"/>
      <c r="M106" s="3"/>
      <c r="N106" s="3"/>
      <c r="O106" s="3"/>
      <c r="P106" s="3"/>
      <c r="Q106" s="3"/>
      <c r="R106" s="3"/>
      <c r="S106" s="3"/>
      <c r="T106" s="3"/>
    </row>
    <row r="107" spans="1:20" ht="13.5" customHeight="1" x14ac:dyDescent="0.3">
      <c r="A107" s="3"/>
      <c r="B107" s="3"/>
      <c r="C107" s="3"/>
      <c r="D107" s="3"/>
      <c r="E107" s="3"/>
      <c r="F107" s="3"/>
      <c r="G107" s="3"/>
      <c r="H107" s="3"/>
      <c r="I107" s="3"/>
      <c r="J107" s="3"/>
      <c r="K107" s="3"/>
      <c r="L107" s="3"/>
      <c r="M107" s="3"/>
      <c r="N107" s="3"/>
      <c r="O107" s="3"/>
      <c r="P107" s="3"/>
      <c r="Q107" s="3"/>
      <c r="R107" s="3"/>
      <c r="S107" s="3"/>
      <c r="T107" s="3"/>
    </row>
    <row r="108" spans="1:20" ht="13.5" customHeight="1" x14ac:dyDescent="0.3">
      <c r="A108" s="3"/>
      <c r="B108" s="3"/>
      <c r="C108" s="3"/>
      <c r="D108" s="3"/>
      <c r="E108" s="3"/>
      <c r="F108" s="3"/>
      <c r="G108" s="3"/>
      <c r="H108" s="3"/>
      <c r="I108" s="3"/>
      <c r="J108" s="3"/>
      <c r="K108" s="3"/>
      <c r="L108" s="3"/>
      <c r="M108" s="3"/>
      <c r="N108" s="3"/>
      <c r="O108" s="3"/>
      <c r="P108" s="3"/>
      <c r="Q108" s="3"/>
      <c r="R108" s="3"/>
      <c r="S108" s="3"/>
      <c r="T108" s="3"/>
    </row>
    <row r="109" spans="1:20" ht="13.5" customHeight="1" x14ac:dyDescent="0.3">
      <c r="A109" s="3"/>
      <c r="B109" s="3"/>
      <c r="C109" s="3"/>
      <c r="D109" s="3"/>
      <c r="E109" s="3"/>
      <c r="F109" s="3"/>
      <c r="G109" s="3"/>
      <c r="H109" s="3"/>
      <c r="I109" s="3"/>
      <c r="J109" s="3"/>
      <c r="K109" s="3"/>
      <c r="L109" s="3"/>
      <c r="M109" s="3"/>
      <c r="N109" s="3"/>
      <c r="O109" s="3"/>
      <c r="P109" s="3"/>
      <c r="Q109" s="3"/>
      <c r="R109" s="3"/>
      <c r="S109" s="3"/>
      <c r="T109" s="3"/>
    </row>
    <row r="110" spans="1:20" ht="12.75" customHeight="1" x14ac:dyDescent="0.3">
      <c r="A110" s="3"/>
      <c r="B110" s="3"/>
      <c r="C110" s="3"/>
      <c r="D110" s="3"/>
      <c r="E110" s="3"/>
      <c r="F110" s="3"/>
      <c r="G110" s="3"/>
      <c r="H110" s="3"/>
      <c r="I110" s="3"/>
      <c r="J110" s="3"/>
      <c r="K110" s="3"/>
      <c r="L110" s="3"/>
      <c r="M110" s="3"/>
      <c r="N110" s="3"/>
      <c r="O110" s="3"/>
      <c r="P110" s="3"/>
      <c r="Q110" s="3"/>
      <c r="R110" s="3"/>
      <c r="S110" s="3"/>
      <c r="T110" s="3"/>
    </row>
    <row r="111" spans="1:20" ht="12.75" customHeight="1" x14ac:dyDescent="0.3">
      <c r="A111" s="3"/>
      <c r="B111" s="3"/>
      <c r="C111" s="3"/>
      <c r="D111" s="3"/>
      <c r="E111" s="3"/>
      <c r="F111" s="3"/>
      <c r="G111" s="3"/>
      <c r="H111" s="3"/>
      <c r="I111" s="3"/>
      <c r="J111" s="3"/>
      <c r="K111" s="3"/>
      <c r="L111" s="3"/>
      <c r="M111" s="3"/>
      <c r="N111" s="3"/>
      <c r="O111" s="3"/>
      <c r="P111" s="3"/>
      <c r="Q111" s="3"/>
      <c r="R111" s="3"/>
      <c r="S111" s="3"/>
      <c r="T111" s="3"/>
    </row>
    <row r="112" spans="1:20" ht="13.5" customHeight="1" x14ac:dyDescent="0.3">
      <c r="A112" s="3"/>
      <c r="B112" s="3"/>
      <c r="C112" s="3"/>
      <c r="D112" s="3"/>
      <c r="E112" s="3"/>
      <c r="F112" s="3"/>
      <c r="G112" s="3"/>
      <c r="H112" s="3"/>
      <c r="I112" s="3"/>
      <c r="J112" s="3"/>
      <c r="K112" s="3"/>
      <c r="L112" s="3"/>
      <c r="M112" s="3"/>
      <c r="N112" s="3"/>
      <c r="O112" s="3"/>
      <c r="P112" s="3"/>
      <c r="Q112" s="3"/>
      <c r="R112" s="3"/>
      <c r="S112" s="3"/>
      <c r="T112" s="3"/>
    </row>
    <row r="113" spans="1:20" ht="12.75" customHeight="1" x14ac:dyDescent="0.3">
      <c r="A113" s="3"/>
      <c r="B113" s="3"/>
      <c r="C113" s="3"/>
      <c r="D113" s="3"/>
      <c r="E113" s="3"/>
      <c r="F113" s="3"/>
      <c r="G113" s="3"/>
      <c r="H113" s="3"/>
      <c r="I113" s="3"/>
      <c r="J113" s="3"/>
      <c r="K113" s="3"/>
      <c r="L113" s="3"/>
      <c r="M113" s="3"/>
      <c r="N113" s="3"/>
      <c r="O113" s="3"/>
      <c r="P113" s="3"/>
      <c r="Q113" s="3"/>
      <c r="R113" s="3"/>
      <c r="S113" s="3"/>
      <c r="T113" s="3"/>
    </row>
    <row r="114" spans="1:20" ht="12.75" customHeight="1" x14ac:dyDescent="0.3">
      <c r="A114" s="3"/>
      <c r="B114" s="3"/>
      <c r="C114" s="3"/>
      <c r="D114" s="3"/>
      <c r="E114" s="3"/>
      <c r="F114" s="3"/>
      <c r="G114" s="3"/>
      <c r="H114" s="3"/>
      <c r="I114" s="3"/>
      <c r="J114" s="3"/>
      <c r="K114" s="3"/>
      <c r="L114" s="3"/>
      <c r="M114" s="3"/>
      <c r="N114" s="3"/>
      <c r="O114" s="3"/>
      <c r="P114" s="3"/>
      <c r="Q114" s="3"/>
      <c r="R114" s="3"/>
      <c r="S114" s="3"/>
      <c r="T114" s="3"/>
    </row>
    <row r="115" spans="1:20" ht="12.75" customHeight="1" x14ac:dyDescent="0.3">
      <c r="A115" s="3"/>
      <c r="B115" s="3"/>
      <c r="C115" s="3"/>
      <c r="D115" s="3"/>
      <c r="E115" s="3"/>
      <c r="F115" s="3"/>
      <c r="G115" s="3"/>
      <c r="H115" s="3"/>
      <c r="I115" s="3"/>
      <c r="J115" s="3"/>
      <c r="K115" s="3"/>
      <c r="L115" s="3"/>
      <c r="M115" s="3"/>
      <c r="N115" s="3"/>
      <c r="O115" s="3"/>
      <c r="P115" s="3"/>
      <c r="Q115" s="3"/>
      <c r="R115" s="3"/>
      <c r="S115" s="3"/>
      <c r="T115" s="3"/>
    </row>
    <row r="116" spans="1:20" ht="12.75" customHeight="1" x14ac:dyDescent="0.3">
      <c r="A116" s="3"/>
      <c r="B116" s="3"/>
      <c r="C116" s="3"/>
      <c r="D116" s="3"/>
      <c r="E116" s="3"/>
      <c r="F116" s="3"/>
      <c r="G116" s="3"/>
      <c r="H116" s="3"/>
      <c r="I116" s="3"/>
      <c r="J116" s="3"/>
      <c r="K116" s="3"/>
      <c r="L116" s="3"/>
      <c r="M116" s="3"/>
      <c r="N116" s="3"/>
      <c r="O116" s="3"/>
      <c r="P116" s="3"/>
      <c r="Q116" s="3"/>
      <c r="R116" s="3"/>
      <c r="S116" s="3"/>
      <c r="T116" s="3"/>
    </row>
    <row r="117" spans="1:20" ht="12.75" customHeight="1" x14ac:dyDescent="0.3">
      <c r="A117" s="3"/>
      <c r="B117" s="3"/>
      <c r="C117" s="3"/>
      <c r="D117" s="3"/>
      <c r="E117" s="3"/>
      <c r="F117" s="3"/>
      <c r="G117" s="3"/>
      <c r="H117" s="3"/>
      <c r="I117" s="3"/>
      <c r="J117" s="3"/>
      <c r="K117" s="3"/>
      <c r="L117" s="3"/>
      <c r="M117" s="3"/>
      <c r="N117" s="3"/>
      <c r="O117" s="3"/>
      <c r="P117" s="3"/>
      <c r="Q117" s="3"/>
      <c r="R117" s="3"/>
      <c r="S117" s="3"/>
      <c r="T117" s="3"/>
    </row>
    <row r="118" spans="1:20" ht="12.75" customHeight="1" x14ac:dyDescent="0.3">
      <c r="A118" s="3"/>
      <c r="B118" s="3"/>
      <c r="C118" s="3"/>
      <c r="D118" s="3"/>
      <c r="E118" s="3"/>
      <c r="F118" s="3"/>
      <c r="G118" s="3"/>
      <c r="H118" s="3"/>
      <c r="I118" s="3"/>
      <c r="J118" s="3"/>
      <c r="K118" s="3"/>
      <c r="L118" s="3"/>
      <c r="M118" s="3"/>
      <c r="N118" s="3"/>
      <c r="O118" s="3"/>
      <c r="P118" s="3"/>
      <c r="Q118" s="3"/>
      <c r="R118" s="3"/>
      <c r="S118" s="3"/>
      <c r="T118" s="3"/>
    </row>
    <row r="119" spans="1:20" ht="12.75" customHeight="1" x14ac:dyDescent="0.3">
      <c r="A119" s="3"/>
      <c r="B119" s="3"/>
      <c r="C119" s="3"/>
      <c r="D119" s="3"/>
      <c r="E119" s="3"/>
      <c r="F119" s="3"/>
      <c r="G119" s="3"/>
      <c r="H119" s="3"/>
      <c r="I119" s="3"/>
      <c r="J119" s="3"/>
      <c r="K119" s="3"/>
      <c r="L119" s="3"/>
      <c r="M119" s="3"/>
      <c r="N119" s="3"/>
      <c r="O119" s="3"/>
      <c r="P119" s="3"/>
      <c r="Q119" s="3"/>
      <c r="R119" s="3"/>
      <c r="S119" s="3"/>
      <c r="T119" s="3"/>
    </row>
    <row r="120" spans="1:20" ht="14.25" customHeight="1" x14ac:dyDescent="0.3">
      <c r="A120" s="3"/>
      <c r="B120" s="3"/>
      <c r="C120" s="3"/>
      <c r="D120" s="3"/>
      <c r="E120" s="3"/>
      <c r="F120" s="3"/>
      <c r="G120" s="3"/>
      <c r="H120" s="3"/>
      <c r="I120" s="3"/>
      <c r="J120" s="3"/>
      <c r="K120" s="3"/>
      <c r="L120" s="3"/>
      <c r="M120" s="3"/>
      <c r="N120" s="3"/>
      <c r="O120" s="3"/>
      <c r="P120" s="3"/>
      <c r="Q120" s="3"/>
      <c r="R120" s="3"/>
      <c r="S120" s="3"/>
      <c r="T120" s="3"/>
    </row>
    <row r="121" spans="1:20" ht="14.25" customHeight="1" x14ac:dyDescent="0.3">
      <c r="A121" s="3"/>
      <c r="B121" s="3"/>
      <c r="C121" s="3"/>
      <c r="D121" s="3"/>
      <c r="E121" s="3"/>
      <c r="F121" s="3"/>
      <c r="G121" s="3"/>
      <c r="H121" s="3"/>
      <c r="I121" s="3"/>
      <c r="J121" s="3"/>
      <c r="K121" s="3"/>
      <c r="L121" s="3"/>
      <c r="M121" s="3"/>
      <c r="N121" s="3"/>
      <c r="O121" s="3"/>
      <c r="P121" s="3"/>
      <c r="Q121" s="3"/>
      <c r="R121" s="3"/>
      <c r="S121" s="3"/>
      <c r="T121" s="3"/>
    </row>
    <row r="122" spans="1:20" ht="12.75" customHeight="1" x14ac:dyDescent="0.3">
      <c r="A122" s="3"/>
      <c r="B122" s="3"/>
      <c r="C122" s="3"/>
      <c r="D122" s="3"/>
      <c r="E122" s="3"/>
      <c r="F122" s="3"/>
      <c r="G122" s="3"/>
      <c r="H122" s="3"/>
      <c r="I122" s="3"/>
      <c r="J122" s="3"/>
      <c r="K122" s="3"/>
      <c r="L122" s="3"/>
      <c r="M122" s="3"/>
      <c r="N122" s="3"/>
      <c r="O122" s="3"/>
      <c r="P122" s="3"/>
      <c r="Q122" s="3"/>
      <c r="R122" s="3"/>
      <c r="S122" s="3"/>
      <c r="T122" s="3"/>
    </row>
    <row r="123" spans="1:20" ht="12.75" customHeight="1" x14ac:dyDescent="0.3">
      <c r="A123" s="3"/>
      <c r="B123" s="3"/>
      <c r="C123" s="3"/>
      <c r="D123" s="3"/>
      <c r="E123" s="3"/>
      <c r="F123" s="3"/>
      <c r="G123" s="3"/>
      <c r="H123" s="3"/>
      <c r="I123" s="3"/>
      <c r="J123" s="3"/>
      <c r="K123" s="3"/>
      <c r="L123" s="3"/>
      <c r="M123" s="3"/>
      <c r="N123" s="3"/>
      <c r="O123" s="3"/>
      <c r="P123" s="3"/>
      <c r="Q123" s="3"/>
      <c r="R123" s="3"/>
      <c r="S123" s="3"/>
      <c r="T123" s="3"/>
    </row>
    <row r="124" spans="1:20" ht="12.75" customHeight="1" x14ac:dyDescent="0.3">
      <c r="A124" s="3"/>
      <c r="B124" s="3"/>
      <c r="C124" s="3"/>
      <c r="D124" s="3"/>
      <c r="E124" s="3"/>
      <c r="F124" s="3"/>
      <c r="G124" s="3"/>
      <c r="H124" s="3"/>
      <c r="I124" s="3"/>
      <c r="J124" s="3"/>
      <c r="K124" s="3"/>
      <c r="L124" s="3"/>
      <c r="M124" s="3"/>
      <c r="N124" s="3"/>
      <c r="O124" s="3"/>
      <c r="P124" s="3"/>
      <c r="Q124" s="3"/>
      <c r="R124" s="3"/>
      <c r="S124" s="3"/>
      <c r="T124" s="3"/>
    </row>
    <row r="125" spans="1:20" ht="12.75" customHeight="1" x14ac:dyDescent="0.3">
      <c r="A125" s="3"/>
      <c r="B125" s="3"/>
      <c r="C125" s="3"/>
      <c r="D125" s="3"/>
      <c r="E125" s="3"/>
      <c r="F125" s="3"/>
      <c r="G125" s="3"/>
      <c r="H125" s="3"/>
      <c r="I125" s="3"/>
      <c r="J125" s="3"/>
      <c r="K125" s="3"/>
      <c r="L125" s="3"/>
      <c r="M125" s="3"/>
      <c r="N125" s="3"/>
      <c r="O125" s="3"/>
      <c r="P125" s="3"/>
      <c r="Q125" s="3"/>
      <c r="R125" s="3"/>
      <c r="S125" s="3"/>
      <c r="T125" s="3"/>
    </row>
    <row r="126" spans="1:20" ht="23.25" customHeight="1" x14ac:dyDescent="0.3">
      <c r="A126" s="3"/>
      <c r="B126" s="3"/>
      <c r="C126" s="3"/>
      <c r="D126" s="3"/>
      <c r="E126" s="3"/>
      <c r="F126" s="3"/>
      <c r="G126" s="3"/>
      <c r="H126" s="3"/>
      <c r="I126" s="3"/>
      <c r="J126" s="3"/>
      <c r="K126" s="3"/>
      <c r="L126" s="3"/>
      <c r="M126" s="3"/>
      <c r="N126" s="3"/>
      <c r="O126" s="3"/>
      <c r="P126" s="3"/>
      <c r="Q126" s="3"/>
      <c r="R126" s="3"/>
      <c r="S126" s="3"/>
      <c r="T126" s="3"/>
    </row>
    <row r="127" spans="1:20" ht="12.75" customHeight="1" x14ac:dyDescent="0.3">
      <c r="A127" s="3"/>
      <c r="B127" s="3"/>
      <c r="C127" s="3"/>
      <c r="D127" s="3"/>
      <c r="E127" s="3"/>
      <c r="F127" s="3"/>
      <c r="G127" s="3"/>
      <c r="H127" s="3"/>
      <c r="I127" s="3"/>
      <c r="J127" s="3"/>
      <c r="K127" s="3"/>
      <c r="L127" s="3"/>
      <c r="M127" s="3"/>
      <c r="N127" s="3"/>
      <c r="O127" s="3"/>
      <c r="P127" s="3"/>
      <c r="Q127" s="3"/>
      <c r="R127" s="3"/>
      <c r="S127" s="3"/>
      <c r="T127" s="3"/>
    </row>
    <row r="128" spans="1:20" ht="12.75" customHeight="1" x14ac:dyDescent="0.3">
      <c r="A128" s="3"/>
      <c r="B128" s="3"/>
      <c r="C128" s="3"/>
      <c r="D128" s="3"/>
      <c r="E128" s="3"/>
      <c r="F128" s="3"/>
      <c r="G128" s="3"/>
      <c r="H128" s="3"/>
      <c r="I128" s="3"/>
      <c r="J128" s="3"/>
      <c r="K128" s="3"/>
      <c r="L128" s="3"/>
      <c r="M128" s="3"/>
      <c r="N128" s="3"/>
      <c r="O128" s="3"/>
      <c r="P128" s="3"/>
      <c r="Q128" s="3"/>
      <c r="R128" s="3"/>
      <c r="S128" s="3"/>
      <c r="T128" s="3"/>
    </row>
    <row r="129" spans="1:20" ht="12.75" customHeight="1" x14ac:dyDescent="0.3">
      <c r="A129" s="3"/>
      <c r="B129" s="3"/>
      <c r="C129" s="3"/>
      <c r="D129" s="3"/>
      <c r="E129" s="3"/>
      <c r="F129" s="3"/>
      <c r="G129" s="3"/>
      <c r="H129" s="3"/>
      <c r="I129" s="3"/>
      <c r="J129" s="3"/>
      <c r="K129" s="3"/>
      <c r="L129" s="3"/>
      <c r="M129" s="3"/>
      <c r="N129" s="3"/>
      <c r="O129" s="3"/>
      <c r="P129" s="3"/>
      <c r="Q129" s="3"/>
      <c r="R129" s="3"/>
      <c r="S129" s="3"/>
      <c r="T129" s="3"/>
    </row>
    <row r="130" spans="1:20" ht="12.75" customHeight="1" x14ac:dyDescent="0.3">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3">
      <c r="A131" s="3"/>
      <c r="B131" s="3"/>
      <c r="C131" s="3"/>
      <c r="D131" s="3"/>
      <c r="E131" s="3"/>
      <c r="F131" s="3"/>
      <c r="G131" s="3"/>
      <c r="H131" s="3"/>
      <c r="I131" s="3"/>
      <c r="J131" s="3"/>
      <c r="K131" s="3"/>
      <c r="L131" s="3"/>
      <c r="M131" s="3"/>
      <c r="N131" s="3"/>
      <c r="O131" s="3"/>
      <c r="P131" s="3"/>
      <c r="Q131" s="3"/>
      <c r="R131" s="3"/>
      <c r="S131" s="3"/>
      <c r="T131" s="3"/>
    </row>
    <row r="132" spans="1:20" ht="12.75" customHeight="1" x14ac:dyDescent="0.3">
      <c r="A132" s="3"/>
      <c r="B132" s="3"/>
      <c r="C132" s="3"/>
      <c r="D132" s="3"/>
      <c r="E132" s="3"/>
      <c r="F132" s="3"/>
      <c r="G132" s="3"/>
      <c r="H132" s="3"/>
      <c r="I132" s="3"/>
      <c r="J132" s="3"/>
      <c r="K132" s="3"/>
      <c r="L132" s="3"/>
      <c r="M132" s="3"/>
      <c r="N132" s="3"/>
      <c r="O132" s="3"/>
      <c r="P132" s="3"/>
      <c r="Q132" s="3"/>
      <c r="R132" s="3"/>
      <c r="S132" s="3"/>
      <c r="T132" s="3"/>
    </row>
    <row r="133" spans="1:20" ht="12.75" customHeight="1" x14ac:dyDescent="0.3">
      <c r="A133" s="3"/>
      <c r="B133" s="3"/>
      <c r="C133" s="3"/>
      <c r="D133" s="3"/>
      <c r="E133" s="3"/>
      <c r="F133" s="3"/>
      <c r="G133" s="3"/>
      <c r="H133" s="3"/>
      <c r="I133" s="3"/>
      <c r="J133" s="3"/>
      <c r="K133" s="3"/>
      <c r="L133" s="3"/>
      <c r="M133" s="3"/>
      <c r="N133" s="3"/>
      <c r="O133" s="3"/>
      <c r="P133" s="3"/>
      <c r="Q133" s="3"/>
      <c r="R133" s="3"/>
      <c r="S133" s="3"/>
      <c r="T133" s="3"/>
    </row>
    <row r="134" spans="1:20" ht="12.75" customHeight="1" x14ac:dyDescent="0.3">
      <c r="A134" s="3"/>
      <c r="B134" s="3"/>
      <c r="C134" s="3"/>
      <c r="D134" s="3"/>
      <c r="E134" s="3"/>
      <c r="F134" s="3"/>
      <c r="G134" s="3"/>
      <c r="H134" s="3"/>
      <c r="I134" s="3"/>
      <c r="J134" s="3"/>
      <c r="K134" s="3"/>
      <c r="L134" s="3"/>
      <c r="M134" s="3"/>
      <c r="N134" s="3"/>
      <c r="O134" s="3"/>
      <c r="P134" s="3"/>
      <c r="Q134" s="3"/>
      <c r="R134" s="3"/>
      <c r="S134" s="3"/>
      <c r="T134" s="3"/>
    </row>
    <row r="135" spans="1:20" ht="12.75" customHeight="1" x14ac:dyDescent="0.3">
      <c r="A135" s="3"/>
      <c r="B135" s="3"/>
      <c r="C135" s="3"/>
      <c r="D135" s="3"/>
      <c r="E135" s="3"/>
      <c r="F135" s="3"/>
      <c r="G135" s="3"/>
      <c r="H135" s="3"/>
      <c r="I135" s="3"/>
      <c r="J135" s="3"/>
      <c r="K135" s="3"/>
      <c r="L135" s="3"/>
      <c r="M135" s="3"/>
      <c r="N135" s="3"/>
      <c r="O135" s="3"/>
      <c r="P135" s="3"/>
      <c r="Q135" s="3"/>
      <c r="R135" s="3"/>
      <c r="S135" s="3"/>
      <c r="T135" s="3"/>
    </row>
    <row r="136" spans="1:20" ht="12.75" customHeight="1" x14ac:dyDescent="0.3">
      <c r="A136" s="3"/>
      <c r="B136" s="3"/>
      <c r="C136" s="3"/>
      <c r="D136" s="3"/>
      <c r="E136" s="3"/>
      <c r="F136" s="3"/>
      <c r="G136" s="3"/>
      <c r="H136" s="3"/>
      <c r="I136" s="3"/>
      <c r="J136" s="3"/>
      <c r="K136" s="3"/>
      <c r="L136" s="3"/>
      <c r="M136" s="3"/>
      <c r="N136" s="3"/>
      <c r="O136" s="3"/>
      <c r="P136" s="3"/>
      <c r="Q136" s="3"/>
      <c r="R136" s="3"/>
      <c r="S136" s="3"/>
      <c r="T136" s="3"/>
    </row>
    <row r="137" spans="1:20" ht="12.75" customHeight="1" x14ac:dyDescent="0.3">
      <c r="A137" s="3"/>
      <c r="B137" s="3"/>
      <c r="C137" s="3"/>
      <c r="D137" s="3"/>
      <c r="E137" s="3"/>
      <c r="F137" s="3"/>
      <c r="G137" s="3"/>
      <c r="H137" s="3"/>
      <c r="I137" s="3"/>
      <c r="J137" s="3"/>
      <c r="K137" s="3"/>
      <c r="L137" s="3"/>
      <c r="M137" s="3"/>
      <c r="N137" s="3"/>
      <c r="O137" s="3"/>
      <c r="P137" s="3"/>
      <c r="Q137" s="3"/>
      <c r="R137" s="3"/>
      <c r="S137" s="3"/>
      <c r="T137" s="3"/>
    </row>
    <row r="138" spans="1:20" ht="12.75" customHeight="1" x14ac:dyDescent="0.3">
      <c r="A138" s="3"/>
      <c r="B138" s="3"/>
      <c r="C138" s="3"/>
      <c r="D138" s="3"/>
      <c r="E138" s="3"/>
      <c r="F138" s="3"/>
      <c r="G138" s="3"/>
      <c r="H138" s="3"/>
      <c r="I138" s="3"/>
      <c r="J138" s="3"/>
      <c r="K138" s="3"/>
      <c r="L138" s="3"/>
      <c r="M138" s="3"/>
      <c r="N138" s="3"/>
      <c r="O138" s="3"/>
      <c r="P138" s="3"/>
      <c r="Q138" s="3"/>
      <c r="R138" s="3"/>
      <c r="S138" s="3"/>
      <c r="T138" s="3"/>
    </row>
    <row r="139" spans="1:20" ht="14.25" customHeight="1" x14ac:dyDescent="0.3">
      <c r="A139" s="3"/>
      <c r="B139" s="3"/>
      <c r="C139" s="3"/>
      <c r="D139" s="3"/>
      <c r="E139" s="3"/>
      <c r="F139" s="3"/>
      <c r="G139" s="3"/>
      <c r="H139" s="3"/>
      <c r="I139" s="3"/>
      <c r="J139" s="3"/>
      <c r="K139" s="3"/>
      <c r="L139" s="3"/>
      <c r="M139" s="3"/>
      <c r="N139" s="3"/>
      <c r="O139" s="3"/>
      <c r="P139" s="3"/>
      <c r="Q139" s="3"/>
      <c r="R139" s="3"/>
      <c r="S139" s="3"/>
      <c r="T139" s="3"/>
    </row>
    <row r="140" spans="1:20" ht="12.75" customHeight="1" x14ac:dyDescent="0.3">
      <c r="A140" s="3"/>
      <c r="B140" s="3"/>
      <c r="C140" s="3"/>
      <c r="D140" s="3"/>
      <c r="E140" s="3"/>
      <c r="F140" s="3"/>
      <c r="G140" s="3"/>
      <c r="H140" s="3"/>
      <c r="I140" s="3"/>
      <c r="J140" s="3"/>
      <c r="K140" s="3"/>
      <c r="L140" s="3"/>
      <c r="M140" s="3"/>
      <c r="N140" s="3"/>
      <c r="O140" s="3"/>
      <c r="P140" s="3"/>
      <c r="Q140" s="3"/>
      <c r="R140" s="3"/>
      <c r="S140" s="3"/>
      <c r="T140" s="3"/>
    </row>
    <row r="141" spans="1:20" ht="12.75" customHeight="1" x14ac:dyDescent="0.3">
      <c r="A141" s="3"/>
      <c r="B141" s="3"/>
      <c r="C141" s="3"/>
      <c r="D141" s="3"/>
      <c r="E141" s="3"/>
      <c r="F141" s="3"/>
      <c r="G141" s="3"/>
      <c r="H141" s="3"/>
      <c r="I141" s="3"/>
      <c r="J141" s="3"/>
      <c r="K141" s="3"/>
      <c r="L141" s="3"/>
      <c r="M141" s="3"/>
      <c r="N141" s="3"/>
      <c r="O141" s="3"/>
      <c r="P141" s="3"/>
      <c r="Q141" s="3"/>
      <c r="R141" s="3"/>
      <c r="S141" s="3"/>
      <c r="T141" s="3"/>
    </row>
    <row r="142" spans="1:20" ht="12.75" customHeight="1" x14ac:dyDescent="0.3">
      <c r="A142" s="3"/>
      <c r="B142" s="3"/>
      <c r="C142" s="3"/>
      <c r="D142" s="3"/>
      <c r="E142" s="3"/>
      <c r="F142" s="3"/>
      <c r="G142" s="3"/>
      <c r="H142" s="3"/>
      <c r="I142" s="3"/>
      <c r="J142" s="3"/>
      <c r="K142" s="3"/>
      <c r="L142" s="3"/>
      <c r="M142" s="3"/>
      <c r="N142" s="3"/>
      <c r="O142" s="3"/>
      <c r="P142" s="3"/>
      <c r="Q142" s="3"/>
      <c r="R142" s="3"/>
      <c r="S142" s="3"/>
      <c r="T142" s="3"/>
    </row>
    <row r="143" spans="1:20" ht="12.75" customHeight="1" x14ac:dyDescent="0.3">
      <c r="A143" s="3"/>
      <c r="B143" s="3"/>
      <c r="C143" s="3"/>
      <c r="D143" s="3"/>
      <c r="E143" s="3"/>
      <c r="F143" s="3"/>
      <c r="G143" s="3"/>
      <c r="H143" s="3"/>
      <c r="I143" s="3"/>
      <c r="J143" s="3"/>
      <c r="K143" s="3"/>
      <c r="L143" s="3"/>
      <c r="M143" s="3"/>
      <c r="N143" s="3"/>
      <c r="O143" s="3"/>
      <c r="P143" s="3"/>
      <c r="Q143" s="3"/>
      <c r="R143" s="3"/>
      <c r="S143" s="3"/>
      <c r="T143" s="3"/>
    </row>
    <row r="144" spans="1:20" ht="12.75" customHeight="1" x14ac:dyDescent="0.3">
      <c r="A144" s="3"/>
      <c r="B144" s="3"/>
      <c r="C144" s="3"/>
      <c r="D144" s="3"/>
      <c r="E144" s="3"/>
      <c r="F144" s="3"/>
      <c r="G144" s="3"/>
      <c r="H144" s="3"/>
      <c r="I144" s="3"/>
      <c r="J144" s="3"/>
      <c r="K144" s="3"/>
      <c r="L144" s="3"/>
      <c r="M144" s="3"/>
      <c r="N144" s="3"/>
      <c r="O144" s="3"/>
      <c r="P144" s="3"/>
      <c r="Q144" s="3"/>
      <c r="R144" s="3"/>
      <c r="S144" s="3"/>
      <c r="T144" s="3"/>
    </row>
    <row r="145" spans="1:20" ht="12.75" customHeight="1" x14ac:dyDescent="0.3">
      <c r="A145" s="3"/>
      <c r="B145" s="3"/>
      <c r="C145" s="3"/>
      <c r="D145" s="3"/>
      <c r="E145" s="3"/>
      <c r="F145" s="3"/>
      <c r="G145" s="3"/>
      <c r="H145" s="3"/>
      <c r="I145" s="3"/>
      <c r="J145" s="3"/>
      <c r="K145" s="3"/>
      <c r="L145" s="3"/>
      <c r="M145" s="3"/>
      <c r="N145" s="3"/>
      <c r="O145" s="3"/>
      <c r="P145" s="3"/>
      <c r="Q145" s="3"/>
      <c r="R145" s="3"/>
      <c r="S145" s="3"/>
      <c r="T145" s="3"/>
    </row>
    <row r="146" spans="1:20" ht="12.75" customHeight="1" x14ac:dyDescent="0.3">
      <c r="A146" s="3"/>
      <c r="B146" s="3"/>
      <c r="C146" s="3"/>
      <c r="D146" s="3"/>
      <c r="E146" s="3"/>
      <c r="F146" s="3"/>
      <c r="G146" s="3"/>
      <c r="H146" s="3"/>
      <c r="I146" s="3"/>
      <c r="J146" s="3"/>
      <c r="K146" s="3"/>
      <c r="L146" s="3"/>
      <c r="M146" s="3"/>
      <c r="N146" s="3"/>
      <c r="O146" s="3"/>
      <c r="P146" s="3"/>
      <c r="Q146" s="3"/>
      <c r="R146" s="3"/>
      <c r="S146" s="3"/>
      <c r="T146" s="3"/>
    </row>
    <row r="147" spans="1:20" ht="12.75" customHeight="1" x14ac:dyDescent="0.3">
      <c r="A147" s="3"/>
      <c r="B147" s="3"/>
      <c r="C147" s="3"/>
      <c r="D147" s="3"/>
      <c r="E147" s="3"/>
      <c r="F147" s="3"/>
      <c r="G147" s="3"/>
      <c r="H147" s="3"/>
      <c r="I147" s="3"/>
      <c r="J147" s="3"/>
      <c r="K147" s="3"/>
      <c r="L147" s="3"/>
      <c r="M147" s="3"/>
      <c r="N147" s="3"/>
      <c r="O147" s="3"/>
      <c r="P147" s="3"/>
      <c r="Q147" s="3"/>
      <c r="R147" s="3"/>
      <c r="S147" s="3"/>
      <c r="T147" s="3"/>
    </row>
    <row r="148" spans="1:20" ht="12.75" customHeight="1" x14ac:dyDescent="0.3">
      <c r="A148" s="3"/>
      <c r="B148" s="3"/>
      <c r="C148" s="3"/>
      <c r="D148" s="3"/>
      <c r="E148" s="3"/>
      <c r="F148" s="3"/>
      <c r="G148" s="3"/>
      <c r="H148" s="3"/>
      <c r="I148" s="3"/>
      <c r="J148" s="3"/>
      <c r="K148" s="3"/>
      <c r="L148" s="3"/>
      <c r="M148" s="3"/>
      <c r="N148" s="3"/>
      <c r="O148" s="3"/>
      <c r="P148" s="3"/>
      <c r="Q148" s="3"/>
      <c r="R148" s="3"/>
      <c r="S148" s="3"/>
      <c r="T148" s="3"/>
    </row>
    <row r="149" spans="1:20" ht="12.75" customHeight="1" x14ac:dyDescent="0.3">
      <c r="A149" s="3"/>
      <c r="B149" s="3"/>
      <c r="C149" s="3"/>
      <c r="D149" s="3"/>
      <c r="E149" s="3"/>
      <c r="F149" s="3"/>
      <c r="G149" s="3"/>
      <c r="H149" s="3"/>
      <c r="I149" s="3"/>
      <c r="J149" s="3"/>
      <c r="K149" s="3"/>
      <c r="L149" s="3"/>
      <c r="M149" s="3"/>
      <c r="N149" s="3"/>
      <c r="O149" s="3"/>
      <c r="P149" s="3"/>
      <c r="Q149" s="3"/>
      <c r="R149" s="3"/>
      <c r="S149" s="3"/>
      <c r="T149" s="3"/>
    </row>
    <row r="150" spans="1:20" ht="12.75" customHeight="1" x14ac:dyDescent="0.3">
      <c r="A150" s="3"/>
      <c r="B150" s="3"/>
      <c r="C150" s="3"/>
      <c r="D150" s="3"/>
      <c r="E150" s="3"/>
      <c r="F150" s="3"/>
      <c r="G150" s="3"/>
      <c r="H150" s="3"/>
      <c r="I150" s="3"/>
      <c r="J150" s="3"/>
      <c r="K150" s="3"/>
      <c r="L150" s="3"/>
      <c r="M150" s="3"/>
      <c r="N150" s="3"/>
      <c r="O150" s="3"/>
      <c r="P150" s="3"/>
      <c r="Q150" s="3"/>
      <c r="R150" s="3"/>
      <c r="S150" s="3"/>
      <c r="T150" s="3"/>
    </row>
    <row r="151" spans="1:20" ht="12.75" customHeight="1" x14ac:dyDescent="0.3">
      <c r="A151" s="3"/>
      <c r="B151" s="3"/>
      <c r="C151" s="3"/>
      <c r="D151" s="3"/>
      <c r="E151" s="3"/>
      <c r="F151" s="3"/>
      <c r="G151" s="3"/>
      <c r="H151" s="3"/>
      <c r="I151" s="3"/>
      <c r="J151" s="3"/>
      <c r="K151" s="3"/>
      <c r="L151" s="3"/>
      <c r="M151" s="3"/>
      <c r="N151" s="3"/>
      <c r="O151" s="3"/>
      <c r="P151" s="3"/>
      <c r="Q151" s="3"/>
      <c r="R151" s="3"/>
      <c r="S151" s="3"/>
      <c r="T151" s="3"/>
    </row>
    <row r="152" spans="1:20" ht="12.75" customHeight="1" x14ac:dyDescent="0.3">
      <c r="A152" s="3"/>
      <c r="B152" s="3"/>
      <c r="C152" s="3"/>
      <c r="D152" s="3"/>
      <c r="E152" s="3"/>
      <c r="F152" s="3"/>
      <c r="G152" s="3"/>
      <c r="H152" s="3"/>
      <c r="I152" s="3"/>
      <c r="J152" s="3"/>
      <c r="K152" s="3"/>
      <c r="L152" s="3"/>
      <c r="M152" s="3"/>
      <c r="N152" s="3"/>
      <c r="O152" s="3"/>
      <c r="P152" s="3"/>
      <c r="Q152" s="3"/>
      <c r="R152" s="3"/>
      <c r="S152" s="3"/>
      <c r="T152" s="3"/>
    </row>
    <row r="153" spans="1:20" ht="12.75" customHeight="1" x14ac:dyDescent="0.3">
      <c r="A153" s="3"/>
      <c r="B153" s="3"/>
      <c r="C153" s="3"/>
      <c r="D153" s="3"/>
      <c r="E153" s="3"/>
      <c r="F153" s="3"/>
      <c r="G153" s="3"/>
      <c r="H153" s="3"/>
      <c r="I153" s="3"/>
      <c r="J153" s="3"/>
      <c r="K153" s="3"/>
      <c r="L153" s="3"/>
      <c r="M153" s="3"/>
      <c r="N153" s="3"/>
      <c r="O153" s="3"/>
      <c r="P153" s="3"/>
      <c r="Q153" s="3"/>
      <c r="R153" s="3"/>
      <c r="S153" s="3"/>
      <c r="T153" s="3"/>
    </row>
    <row r="154" spans="1:20" ht="12.75" customHeight="1" x14ac:dyDescent="0.3">
      <c r="A154" s="3"/>
      <c r="B154" s="3"/>
      <c r="C154" s="3"/>
      <c r="D154" s="3"/>
      <c r="E154" s="3"/>
      <c r="F154" s="3"/>
      <c r="G154" s="3"/>
      <c r="H154" s="3"/>
      <c r="I154" s="3"/>
      <c r="J154" s="3"/>
      <c r="K154" s="3"/>
      <c r="L154" s="3"/>
      <c r="M154" s="3"/>
      <c r="N154" s="3"/>
      <c r="O154" s="3"/>
      <c r="P154" s="3"/>
      <c r="Q154" s="3"/>
      <c r="R154" s="3"/>
      <c r="S154" s="3"/>
      <c r="T154" s="3"/>
    </row>
    <row r="155" spans="1:20" ht="12.75" customHeight="1" x14ac:dyDescent="0.3">
      <c r="A155" s="3"/>
      <c r="B155" s="3"/>
      <c r="C155" s="3"/>
      <c r="D155" s="3"/>
      <c r="E155" s="3"/>
      <c r="F155" s="3"/>
      <c r="G155" s="3"/>
      <c r="H155" s="3"/>
      <c r="I155" s="3"/>
      <c r="J155" s="3"/>
      <c r="K155" s="3"/>
      <c r="L155" s="3"/>
      <c r="M155" s="3"/>
      <c r="N155" s="3"/>
      <c r="O155" s="3"/>
      <c r="P155" s="3"/>
      <c r="Q155" s="3"/>
      <c r="R155" s="3"/>
      <c r="S155" s="3"/>
      <c r="T155" s="3"/>
    </row>
    <row r="156" spans="1:20" ht="13.5" customHeight="1" x14ac:dyDescent="0.3">
      <c r="A156" s="3"/>
      <c r="B156" s="3"/>
      <c r="C156" s="3"/>
      <c r="D156" s="3"/>
      <c r="E156" s="3"/>
      <c r="F156" s="3"/>
      <c r="G156" s="3"/>
      <c r="H156" s="3"/>
      <c r="I156" s="3"/>
      <c r="J156" s="3"/>
      <c r="K156" s="3"/>
      <c r="L156" s="3"/>
      <c r="M156" s="3"/>
      <c r="N156" s="3"/>
      <c r="O156" s="3"/>
      <c r="P156" s="3"/>
      <c r="Q156" s="3"/>
      <c r="R156" s="3"/>
      <c r="S156" s="3"/>
      <c r="T156" s="3"/>
    </row>
    <row r="157" spans="1:20" ht="12.75" customHeight="1" x14ac:dyDescent="0.3">
      <c r="A157" s="3"/>
      <c r="B157" s="3"/>
      <c r="C157" s="3"/>
      <c r="D157" s="3"/>
      <c r="E157" s="3"/>
      <c r="F157" s="3"/>
      <c r="G157" s="3"/>
      <c r="H157" s="3"/>
      <c r="I157" s="3"/>
      <c r="J157" s="3"/>
      <c r="K157" s="3"/>
      <c r="L157" s="3"/>
      <c r="M157" s="3"/>
      <c r="N157" s="3"/>
      <c r="O157" s="3"/>
      <c r="P157" s="3"/>
      <c r="Q157" s="3"/>
      <c r="R157" s="3"/>
      <c r="S157" s="3"/>
      <c r="T157" s="3"/>
    </row>
    <row r="158" spans="1:20" ht="12.75" customHeight="1" x14ac:dyDescent="0.3">
      <c r="A158" s="3"/>
      <c r="B158" s="3"/>
      <c r="C158" s="3"/>
      <c r="D158" s="3"/>
      <c r="E158" s="3"/>
      <c r="F158" s="3"/>
      <c r="G158" s="3"/>
      <c r="H158" s="3"/>
      <c r="I158" s="3"/>
      <c r="J158" s="3"/>
      <c r="K158" s="3"/>
      <c r="L158" s="3"/>
      <c r="M158" s="3"/>
      <c r="N158" s="3"/>
      <c r="O158" s="3"/>
      <c r="P158" s="3"/>
      <c r="Q158" s="3"/>
      <c r="R158" s="3"/>
      <c r="S158" s="3"/>
      <c r="T158" s="3"/>
    </row>
    <row r="159" spans="1:20" ht="12.75" customHeight="1" x14ac:dyDescent="0.3">
      <c r="A159" s="3"/>
      <c r="B159" s="3"/>
      <c r="C159" s="3"/>
      <c r="D159" s="3"/>
      <c r="E159" s="3"/>
      <c r="F159" s="3"/>
      <c r="G159" s="3"/>
      <c r="H159" s="3"/>
      <c r="I159" s="3"/>
      <c r="J159" s="3"/>
      <c r="K159" s="3"/>
      <c r="L159" s="3"/>
      <c r="M159" s="3"/>
      <c r="N159" s="3"/>
      <c r="O159" s="3"/>
      <c r="P159" s="3"/>
      <c r="Q159" s="3"/>
      <c r="R159" s="3"/>
      <c r="S159" s="3"/>
      <c r="T159" s="3"/>
    </row>
    <row r="160" spans="1:20" ht="12.75" customHeight="1" x14ac:dyDescent="0.3">
      <c r="A160" s="3"/>
      <c r="B160" s="3"/>
      <c r="C160" s="3"/>
      <c r="D160" s="3"/>
      <c r="E160" s="3"/>
      <c r="F160" s="3"/>
      <c r="G160" s="3"/>
      <c r="H160" s="3"/>
      <c r="I160" s="3"/>
      <c r="J160" s="3"/>
      <c r="K160" s="3"/>
      <c r="L160" s="3"/>
      <c r="M160" s="3"/>
      <c r="N160" s="3"/>
      <c r="O160" s="3"/>
      <c r="P160" s="3"/>
      <c r="Q160" s="3"/>
      <c r="R160" s="3"/>
      <c r="S160" s="3"/>
      <c r="T160" s="3"/>
    </row>
    <row r="161" spans="1:20" ht="12.75" customHeight="1" x14ac:dyDescent="0.3">
      <c r="A161" s="3"/>
      <c r="B161" s="3"/>
      <c r="C161" s="3"/>
      <c r="D161" s="3"/>
      <c r="E161" s="3"/>
      <c r="F161" s="3"/>
      <c r="G161" s="3"/>
      <c r="H161" s="3"/>
      <c r="I161" s="3"/>
      <c r="J161" s="3"/>
      <c r="K161" s="3"/>
      <c r="L161" s="3"/>
      <c r="M161" s="3"/>
      <c r="N161" s="3"/>
      <c r="O161" s="3"/>
      <c r="P161" s="3"/>
      <c r="Q161" s="3"/>
      <c r="R161" s="3"/>
      <c r="S161" s="3"/>
      <c r="T161" s="3"/>
    </row>
    <row r="162" spans="1:20" ht="12.75" customHeight="1" x14ac:dyDescent="0.3">
      <c r="A162" s="3"/>
      <c r="B162" s="3"/>
      <c r="C162" s="3"/>
      <c r="D162" s="3"/>
      <c r="E162" s="3"/>
      <c r="F162" s="3"/>
      <c r="G162" s="3"/>
      <c r="H162" s="3"/>
      <c r="I162" s="3"/>
      <c r="J162" s="3"/>
      <c r="K162" s="3"/>
      <c r="L162" s="3"/>
      <c r="M162" s="3"/>
      <c r="N162" s="3"/>
      <c r="O162" s="3"/>
      <c r="P162" s="3"/>
      <c r="Q162" s="3"/>
      <c r="R162" s="3"/>
      <c r="S162" s="3"/>
      <c r="T162" s="3"/>
    </row>
    <row r="163" spans="1:20" ht="12.75" customHeight="1" x14ac:dyDescent="0.3">
      <c r="A163" s="3"/>
      <c r="B163" s="3"/>
      <c r="C163" s="3"/>
      <c r="D163" s="3"/>
      <c r="E163" s="3"/>
      <c r="F163" s="3"/>
      <c r="G163" s="3"/>
      <c r="H163" s="3"/>
      <c r="I163" s="3"/>
      <c r="J163" s="3"/>
      <c r="K163" s="3"/>
      <c r="L163" s="3"/>
      <c r="M163" s="3"/>
      <c r="N163" s="3"/>
      <c r="O163" s="3"/>
      <c r="P163" s="3"/>
      <c r="Q163" s="3"/>
      <c r="R163" s="3"/>
      <c r="S163" s="3"/>
      <c r="T163" s="3"/>
    </row>
    <row r="164" spans="1:20" ht="12.75" customHeight="1" x14ac:dyDescent="0.3">
      <c r="A164" s="3"/>
      <c r="B164" s="3"/>
      <c r="C164" s="3"/>
      <c r="D164" s="3"/>
      <c r="E164" s="3"/>
      <c r="F164" s="3"/>
      <c r="G164" s="3"/>
      <c r="H164" s="3"/>
      <c r="I164" s="3"/>
      <c r="J164" s="3"/>
      <c r="K164" s="3"/>
      <c r="L164" s="3"/>
      <c r="M164" s="3"/>
      <c r="N164" s="3"/>
      <c r="O164" s="3"/>
      <c r="P164" s="3"/>
      <c r="Q164" s="3"/>
      <c r="R164" s="3"/>
      <c r="S164" s="3"/>
      <c r="T164" s="3"/>
    </row>
    <row r="165" spans="1:20" ht="12.75" customHeight="1" x14ac:dyDescent="0.3">
      <c r="A165" s="3"/>
      <c r="B165" s="3"/>
      <c r="C165" s="3"/>
      <c r="D165" s="3"/>
      <c r="E165" s="3"/>
      <c r="F165" s="3"/>
      <c r="G165" s="3"/>
      <c r="H165" s="3"/>
      <c r="I165" s="3"/>
      <c r="J165" s="3"/>
      <c r="K165" s="3"/>
      <c r="L165" s="3"/>
      <c r="M165" s="3"/>
      <c r="N165" s="3"/>
      <c r="O165" s="3"/>
      <c r="P165" s="3"/>
      <c r="Q165" s="3"/>
      <c r="R165" s="3"/>
      <c r="S165" s="3"/>
      <c r="T165" s="3"/>
    </row>
    <row r="166" spans="1:20" ht="13.5" customHeight="1" x14ac:dyDescent="0.3">
      <c r="A166" s="3"/>
      <c r="B166" s="3"/>
      <c r="C166" s="3"/>
      <c r="D166" s="3"/>
      <c r="E166" s="3"/>
      <c r="F166" s="3"/>
      <c r="G166" s="3"/>
      <c r="H166" s="3"/>
      <c r="I166" s="3"/>
      <c r="J166" s="3"/>
      <c r="K166" s="3"/>
      <c r="L166" s="3"/>
      <c r="M166" s="3"/>
      <c r="N166" s="3"/>
      <c r="O166" s="3"/>
      <c r="P166" s="3"/>
      <c r="Q166" s="3"/>
      <c r="R166" s="3"/>
      <c r="S166" s="3"/>
      <c r="T166" s="3"/>
    </row>
    <row r="167" spans="1:20" ht="12.75" customHeight="1" x14ac:dyDescent="0.3">
      <c r="A167" s="3"/>
      <c r="B167" s="3"/>
      <c r="C167" s="3"/>
      <c r="D167" s="3"/>
      <c r="E167" s="3"/>
      <c r="F167" s="3"/>
      <c r="G167" s="3"/>
      <c r="H167" s="3"/>
      <c r="I167" s="3"/>
      <c r="J167" s="3"/>
      <c r="K167" s="3"/>
      <c r="L167" s="3"/>
      <c r="M167" s="3"/>
      <c r="N167" s="3"/>
      <c r="O167" s="3"/>
      <c r="P167" s="3"/>
      <c r="Q167" s="3"/>
      <c r="R167" s="3"/>
      <c r="S167" s="3"/>
      <c r="T167" s="3"/>
    </row>
    <row r="168" spans="1:20" ht="12.75" customHeight="1" x14ac:dyDescent="0.3">
      <c r="A168" s="3"/>
      <c r="B168" s="3"/>
      <c r="C168" s="3"/>
      <c r="D168" s="3"/>
      <c r="E168" s="3"/>
      <c r="F168" s="3"/>
      <c r="G168" s="3"/>
      <c r="H168" s="3"/>
      <c r="I168" s="3"/>
      <c r="J168" s="3"/>
      <c r="K168" s="3"/>
      <c r="L168" s="3"/>
      <c r="M168" s="3"/>
      <c r="N168" s="3"/>
      <c r="O168" s="3"/>
      <c r="P168" s="3"/>
      <c r="Q168" s="3"/>
      <c r="R168" s="3"/>
      <c r="S168" s="3"/>
      <c r="T168" s="3"/>
    </row>
    <row r="169" spans="1:20" ht="13.5" customHeight="1" x14ac:dyDescent="0.3">
      <c r="A169" s="3"/>
      <c r="B169" s="3"/>
      <c r="C169" s="3"/>
      <c r="D169" s="3"/>
      <c r="E169" s="3"/>
      <c r="F169" s="3"/>
      <c r="G169" s="3"/>
      <c r="H169" s="3"/>
      <c r="I169" s="3"/>
      <c r="J169" s="3"/>
      <c r="K169" s="3"/>
      <c r="L169" s="3"/>
      <c r="M169" s="3"/>
      <c r="N169" s="3"/>
      <c r="O169" s="3"/>
      <c r="P169" s="3"/>
      <c r="Q169" s="3"/>
      <c r="R169" s="3"/>
      <c r="S169" s="3"/>
      <c r="T169" s="3"/>
    </row>
    <row r="170" spans="1:20" ht="12.75" customHeight="1" x14ac:dyDescent="0.3">
      <c r="A170" s="3"/>
      <c r="B170" s="3"/>
      <c r="C170" s="3"/>
      <c r="D170" s="3"/>
      <c r="E170" s="3"/>
      <c r="F170" s="3"/>
      <c r="G170" s="3"/>
      <c r="H170" s="3"/>
      <c r="I170" s="3"/>
      <c r="J170" s="3"/>
      <c r="K170" s="3"/>
      <c r="L170" s="3"/>
      <c r="M170" s="3"/>
      <c r="N170" s="3"/>
      <c r="O170" s="3"/>
      <c r="P170" s="3"/>
      <c r="Q170" s="3"/>
      <c r="R170" s="3"/>
      <c r="S170" s="3"/>
      <c r="T170" s="3"/>
    </row>
    <row r="171" spans="1:20" ht="12.75" customHeight="1" x14ac:dyDescent="0.3">
      <c r="A171" s="3"/>
      <c r="B171" s="3"/>
      <c r="C171" s="3"/>
      <c r="D171" s="3"/>
      <c r="E171" s="3"/>
      <c r="F171" s="3"/>
      <c r="G171" s="3"/>
      <c r="H171" s="3"/>
      <c r="I171" s="3"/>
      <c r="J171" s="3"/>
      <c r="K171" s="3"/>
      <c r="L171" s="3"/>
      <c r="M171" s="3"/>
      <c r="N171" s="3"/>
      <c r="O171" s="3"/>
      <c r="P171" s="3"/>
      <c r="Q171" s="3"/>
      <c r="R171" s="3"/>
      <c r="S171" s="3"/>
      <c r="T171" s="3"/>
    </row>
    <row r="172" spans="1:20" ht="12.75" customHeight="1" x14ac:dyDescent="0.3">
      <c r="A172" s="3"/>
      <c r="B172" s="3"/>
      <c r="C172" s="3"/>
      <c r="D172" s="3"/>
      <c r="E172" s="3"/>
      <c r="F172" s="3"/>
      <c r="G172" s="3"/>
      <c r="H172" s="3"/>
      <c r="I172" s="3"/>
      <c r="J172" s="3"/>
      <c r="K172" s="3"/>
      <c r="L172" s="3"/>
      <c r="M172" s="3"/>
      <c r="N172" s="3"/>
      <c r="O172" s="3"/>
      <c r="P172" s="3"/>
      <c r="Q172" s="3"/>
      <c r="R172" s="3"/>
      <c r="S172" s="3"/>
      <c r="T172" s="3"/>
    </row>
    <row r="173" spans="1:20" ht="12.75" customHeight="1" x14ac:dyDescent="0.3">
      <c r="A173" s="3"/>
      <c r="B173" s="3"/>
      <c r="C173" s="3"/>
      <c r="D173" s="3"/>
      <c r="E173" s="3"/>
      <c r="F173" s="3"/>
      <c r="G173" s="3"/>
      <c r="H173" s="3"/>
      <c r="I173" s="3"/>
      <c r="J173" s="3"/>
      <c r="K173" s="3"/>
      <c r="L173" s="3"/>
      <c r="M173" s="3"/>
      <c r="N173" s="3"/>
      <c r="O173" s="3"/>
      <c r="P173" s="3"/>
      <c r="Q173" s="3"/>
      <c r="R173" s="3"/>
      <c r="S173" s="3"/>
      <c r="T173" s="3"/>
    </row>
    <row r="174" spans="1:20" ht="12.75" customHeight="1" x14ac:dyDescent="0.3">
      <c r="A174" s="3"/>
      <c r="B174" s="3"/>
      <c r="C174" s="3"/>
      <c r="D174" s="3"/>
      <c r="E174" s="3"/>
      <c r="F174" s="3"/>
      <c r="G174" s="3"/>
      <c r="H174" s="3"/>
      <c r="I174" s="3"/>
      <c r="J174" s="3"/>
      <c r="K174" s="3"/>
      <c r="L174" s="3"/>
      <c r="M174" s="3"/>
      <c r="N174" s="3"/>
      <c r="O174" s="3"/>
      <c r="P174" s="3"/>
      <c r="Q174" s="3"/>
      <c r="R174" s="3"/>
      <c r="S174" s="3"/>
      <c r="T174" s="3"/>
    </row>
    <row r="175" spans="1:20" ht="12.75" customHeight="1" x14ac:dyDescent="0.3">
      <c r="A175" s="3"/>
      <c r="B175" s="3"/>
      <c r="C175" s="3"/>
      <c r="D175" s="3"/>
      <c r="E175" s="3"/>
      <c r="F175" s="3"/>
      <c r="G175" s="3"/>
      <c r="H175" s="3"/>
      <c r="I175" s="3"/>
      <c r="J175" s="3"/>
      <c r="K175" s="3"/>
      <c r="L175" s="3"/>
      <c r="M175" s="3"/>
      <c r="N175" s="3"/>
      <c r="O175" s="3"/>
      <c r="P175" s="3"/>
      <c r="Q175" s="3"/>
      <c r="R175" s="3"/>
      <c r="S175" s="3"/>
      <c r="T175" s="3"/>
    </row>
    <row r="176" spans="1:20" ht="12.75" customHeight="1" x14ac:dyDescent="0.3">
      <c r="A176" s="3"/>
      <c r="B176" s="3"/>
      <c r="C176" s="3"/>
      <c r="D176" s="3"/>
      <c r="E176" s="3"/>
      <c r="F176" s="3"/>
      <c r="G176" s="3"/>
      <c r="H176" s="3"/>
      <c r="I176" s="3"/>
      <c r="J176" s="3"/>
      <c r="K176" s="3"/>
      <c r="L176" s="3"/>
      <c r="M176" s="3"/>
      <c r="N176" s="3"/>
      <c r="O176" s="3"/>
      <c r="P176" s="3"/>
      <c r="Q176" s="3"/>
      <c r="R176" s="3"/>
      <c r="S176" s="3"/>
      <c r="T176" s="3"/>
    </row>
    <row r="177" spans="1:20" ht="13.5" customHeight="1" x14ac:dyDescent="0.3">
      <c r="A177" s="3"/>
      <c r="B177" s="3"/>
      <c r="C177" s="3"/>
      <c r="D177" s="3"/>
      <c r="E177" s="3"/>
      <c r="F177" s="3"/>
      <c r="G177" s="3"/>
      <c r="H177" s="3"/>
      <c r="I177" s="3"/>
      <c r="J177" s="3"/>
      <c r="K177" s="3"/>
      <c r="L177" s="3"/>
      <c r="M177" s="3"/>
      <c r="N177" s="3"/>
      <c r="O177" s="3"/>
      <c r="P177" s="3"/>
      <c r="Q177" s="3"/>
      <c r="R177" s="3"/>
      <c r="S177" s="3"/>
      <c r="T177" s="3"/>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4140625" defaultRowHeight="15" customHeight="1" x14ac:dyDescent="0.3"/>
  <cols>
    <col min="1" max="1" width="1.33203125" customWidth="1"/>
    <col min="2" max="2" width="4.44140625" customWidth="1"/>
    <col min="3" max="3" width="8" customWidth="1"/>
    <col min="4" max="6" width="8.44140625" customWidth="1"/>
    <col min="7" max="7" width="3.44140625" customWidth="1"/>
    <col min="8" max="8" width="13.6640625" customWidth="1"/>
    <col min="9" max="9" width="9.44140625" customWidth="1"/>
    <col min="10" max="10" width="5" customWidth="1"/>
    <col min="11" max="11" width="8.44140625" customWidth="1"/>
    <col min="12" max="12" width="5.44140625" customWidth="1"/>
    <col min="13" max="13" width="9.44140625" customWidth="1"/>
    <col min="14" max="17" width="8.44140625" customWidth="1"/>
    <col min="18" max="18" width="4.44140625" customWidth="1"/>
    <col min="19" max="19" width="8.44140625" customWidth="1"/>
    <col min="20" max="20" width="5" customWidth="1"/>
    <col min="21" max="22" width="3.33203125" customWidth="1"/>
    <col min="24" max="24" width="9.44140625" customWidth="1"/>
  </cols>
  <sheetData>
    <row r="1" spans="1:34" ht="11.7" customHeight="1" x14ac:dyDescent="0.3">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3">
      <c r="A2" s="245"/>
      <c r="B2" s="451"/>
      <c r="C2" s="452" t="s">
        <v>679</v>
      </c>
      <c r="D2" s="2262" t="str">
        <f>IF('R-Entrada'!D2&lt;&gt;0,'R-Entrada'!D2,"")</f>
        <v>CIRSOP - Consórcio RSU Oeste Paulista</v>
      </c>
      <c r="E2" s="2194"/>
      <c r="F2" s="2194"/>
      <c r="G2" s="2194"/>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3">
      <c r="A3" s="245"/>
      <c r="B3" s="451"/>
      <c r="C3" s="452" t="s">
        <v>680</v>
      </c>
      <c r="D3" s="2262" t="str">
        <f>IF('R-Entrada'!D3&lt;&gt;0,'R-Entrada'!D3,"")</f>
        <v>Biodigestão c/ Prod. E. Elétrica</v>
      </c>
      <c r="E3" s="2155"/>
      <c r="F3" s="2155"/>
      <c r="G3" s="2155"/>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3">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3">
      <c r="A5" s="245"/>
      <c r="B5" s="93" t="s">
        <v>735</v>
      </c>
      <c r="C5" s="100"/>
      <c r="D5" s="100"/>
      <c r="E5" s="100"/>
      <c r="F5" s="100"/>
      <c r="G5" s="100"/>
      <c r="H5" s="100"/>
      <c r="I5" s="100"/>
      <c r="J5" s="100"/>
      <c r="K5" s="248"/>
      <c r="L5" s="100"/>
      <c r="M5" s="100"/>
      <c r="N5" s="100"/>
      <c r="O5" s="100"/>
      <c r="P5" s="476"/>
      <c r="Q5" s="2263" t="s">
        <v>473</v>
      </c>
      <c r="R5" s="2196"/>
      <c r="S5" s="2196"/>
      <c r="T5" s="2196"/>
      <c r="U5" s="2196"/>
      <c r="V5" s="476"/>
      <c r="W5" s="476"/>
      <c r="X5" s="476"/>
      <c r="Y5" s="476"/>
      <c r="Z5" s="476"/>
      <c r="AA5" s="476"/>
      <c r="AB5" s="476"/>
      <c r="AC5" s="476"/>
      <c r="AD5" s="476"/>
      <c r="AE5" s="476"/>
      <c r="AF5" s="476"/>
      <c r="AG5" s="476"/>
      <c r="AH5" s="476"/>
    </row>
    <row r="6" spans="1:34" s="956" customFormat="1" ht="18" customHeight="1" x14ac:dyDescent="0.3">
      <c r="A6" s="245"/>
      <c r="B6" s="451"/>
      <c r="C6" s="476"/>
      <c r="D6" s="476"/>
      <c r="E6" s="476"/>
      <c r="F6" s="476"/>
      <c r="G6" s="476"/>
      <c r="H6" s="476"/>
      <c r="I6" s="476"/>
      <c r="J6" s="476"/>
      <c r="K6" s="476"/>
      <c r="L6" s="476"/>
      <c r="M6" s="476"/>
      <c r="N6" s="476"/>
      <c r="O6" s="476"/>
      <c r="P6" s="476"/>
      <c r="Q6" s="2122" t="str">
        <f>Apresentação!I2</f>
        <v>RC-RSU V.1.0 - 15/10/2020</v>
      </c>
      <c r="R6" s="2122"/>
      <c r="S6" s="2122"/>
      <c r="T6" s="2196"/>
      <c r="U6" s="2196"/>
      <c r="V6" s="476"/>
      <c r="W6" s="476"/>
      <c r="X6" s="476"/>
      <c r="Y6" s="2264"/>
      <c r="Z6" s="2265"/>
      <c r="AA6" s="2265"/>
      <c r="AB6" s="2265"/>
      <c r="AC6" s="476"/>
      <c r="AD6" s="476"/>
      <c r="AE6" s="476"/>
      <c r="AF6" s="476"/>
      <c r="AG6" s="476"/>
      <c r="AH6" s="476"/>
    </row>
    <row r="7" spans="1:34" ht="16.2" customHeight="1" x14ac:dyDescent="0.3">
      <c r="A7" s="245"/>
      <c r="B7" s="434"/>
      <c r="C7" s="476"/>
      <c r="D7" s="476"/>
      <c r="E7" s="476"/>
      <c r="F7" s="476"/>
      <c r="G7" s="476"/>
      <c r="H7" s="476"/>
      <c r="I7" s="476"/>
      <c r="J7" s="476"/>
      <c r="K7" s="476"/>
      <c r="L7" s="476"/>
      <c r="M7" s="476"/>
      <c r="N7" s="476"/>
      <c r="O7" s="476"/>
      <c r="P7" s="476"/>
      <c r="Q7" s="476"/>
      <c r="R7" s="476"/>
      <c r="S7" s="476"/>
      <c r="T7" s="476"/>
      <c r="U7" s="476"/>
      <c r="V7" s="476"/>
      <c r="W7" s="476"/>
      <c r="X7" s="476"/>
      <c r="Y7" s="2265"/>
      <c r="Z7" s="2265"/>
      <c r="AA7" s="2265"/>
      <c r="AB7" s="2265"/>
      <c r="AC7" s="476"/>
      <c r="AD7" s="476"/>
      <c r="AE7" s="476"/>
      <c r="AF7" s="476"/>
      <c r="AG7" s="476"/>
      <c r="AH7" s="476"/>
    </row>
    <row r="8" spans="1:34" ht="18" customHeight="1" x14ac:dyDescent="0.3">
      <c r="A8" s="251"/>
      <c r="B8" s="2266" t="s">
        <v>777</v>
      </c>
      <c r="C8" s="2267"/>
      <c r="D8" s="2267"/>
      <c r="E8" s="2267"/>
      <c r="F8" s="834"/>
      <c r="G8" s="834"/>
      <c r="H8" s="834"/>
      <c r="I8" s="834"/>
      <c r="J8" s="835"/>
      <c r="K8" s="438"/>
      <c r="L8" s="195" t="s">
        <v>932</v>
      </c>
      <c r="M8" s="454"/>
      <c r="N8" s="454"/>
      <c r="O8" s="454"/>
      <c r="P8" s="454"/>
      <c r="Q8" s="454"/>
      <c r="R8" s="454"/>
      <c r="S8" s="455"/>
      <c r="T8" s="498"/>
      <c r="U8" s="245"/>
      <c r="V8" s="476"/>
      <c r="W8" s="476"/>
      <c r="X8" s="476"/>
      <c r="Y8" s="2265"/>
      <c r="Z8" s="2265"/>
      <c r="AA8" s="2265"/>
      <c r="AB8" s="2265"/>
      <c r="AC8" s="476"/>
      <c r="AD8" s="476"/>
      <c r="AE8" s="476"/>
      <c r="AF8" s="476"/>
      <c r="AG8" s="476"/>
      <c r="AH8" s="476"/>
    </row>
    <row r="9" spans="1:34" ht="18" customHeight="1" x14ac:dyDescent="0.3">
      <c r="A9" s="245"/>
      <c r="B9" s="439"/>
      <c r="C9" s="802" t="s">
        <v>240</v>
      </c>
      <c r="D9" s="803" t="s">
        <v>799</v>
      </c>
      <c r="E9" s="815"/>
      <c r="F9" s="833"/>
      <c r="G9" s="639"/>
      <c r="H9" s="652"/>
      <c r="I9" s="1027">
        <f>'R-Entrada'!E14*313</f>
        <v>78250</v>
      </c>
      <c r="J9" s="255" t="s">
        <v>241</v>
      </c>
      <c r="K9" s="440"/>
      <c r="L9" s="814"/>
      <c r="M9" s="456" t="s">
        <v>242</v>
      </c>
      <c r="N9" s="456"/>
      <c r="O9" s="456"/>
      <c r="P9" s="456"/>
      <c r="Q9" s="456"/>
      <c r="R9" s="456"/>
      <c r="S9" s="457"/>
      <c r="T9" s="836"/>
      <c r="U9" s="245"/>
      <c r="V9" s="476"/>
      <c r="W9" s="476"/>
      <c r="X9" s="476"/>
      <c r="Y9" s="2265"/>
      <c r="Z9" s="2265"/>
      <c r="AA9" s="2265"/>
      <c r="AB9" s="2265"/>
      <c r="AC9" s="476"/>
      <c r="AD9" s="476"/>
      <c r="AE9" s="476"/>
      <c r="AF9" s="476"/>
      <c r="AG9" s="476"/>
      <c r="AH9" s="476"/>
    </row>
    <row r="10" spans="1:34" ht="18" customHeight="1" x14ac:dyDescent="0.3">
      <c r="A10" s="245"/>
      <c r="B10" s="433"/>
      <c r="C10" s="435"/>
      <c r="D10" s="436"/>
      <c r="E10" s="436"/>
      <c r="F10" s="433"/>
      <c r="G10" s="433"/>
      <c r="H10" s="433"/>
      <c r="I10" s="433"/>
      <c r="J10" s="433"/>
      <c r="K10" s="437"/>
      <c r="L10" s="763"/>
      <c r="M10" s="518" t="s">
        <v>243</v>
      </c>
      <c r="N10" s="507" t="s">
        <v>754</v>
      </c>
      <c r="O10" s="507"/>
      <c r="P10" s="132"/>
      <c r="Q10" s="501">
        <f>IF('R-Entrada'!G28&lt;&gt;0,S10/'R-Entrada'!G28*100,0)</f>
        <v>25</v>
      </c>
      <c r="R10" s="255" t="s">
        <v>195</v>
      </c>
      <c r="S10" s="254">
        <f>'R-Definição'!L24</f>
        <v>8.1875</v>
      </c>
      <c r="T10" s="850" t="s">
        <v>21</v>
      </c>
      <c r="U10" s="754"/>
      <c r="V10" s="476"/>
      <c r="W10" s="476"/>
      <c r="X10" s="476"/>
      <c r="Y10" s="2265"/>
      <c r="Z10" s="2265"/>
      <c r="AA10" s="2265"/>
      <c r="AB10" s="2265"/>
      <c r="AC10" s="476"/>
      <c r="AD10" s="476"/>
      <c r="AE10" s="476"/>
      <c r="AF10" s="476"/>
      <c r="AG10" s="476"/>
      <c r="AH10" s="476"/>
    </row>
    <row r="11" spans="1:34" ht="18" customHeight="1" x14ac:dyDescent="0.3">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25</v>
      </c>
      <c r="R11" s="255" t="s">
        <v>195</v>
      </c>
      <c r="S11" s="254">
        <f>'R-Definição'!L25+'R-Definição'!L26</f>
        <v>8.4375</v>
      </c>
      <c r="T11" s="850" t="s">
        <v>21</v>
      </c>
      <c r="U11" s="754"/>
      <c r="V11" s="476"/>
      <c r="W11" s="476"/>
      <c r="X11" s="476"/>
      <c r="Y11" s="476"/>
      <c r="Z11" s="476"/>
      <c r="AA11" s="476"/>
      <c r="AB11" s="476"/>
      <c r="AC11" s="476"/>
      <c r="AD11" s="476"/>
      <c r="AE11" s="476"/>
      <c r="AF11" s="476"/>
      <c r="AG11" s="476"/>
      <c r="AH11" s="476"/>
    </row>
    <row r="12" spans="1:34" ht="18" customHeight="1" x14ac:dyDescent="0.3">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25</v>
      </c>
      <c r="R12" s="255" t="s">
        <v>195</v>
      </c>
      <c r="S12" s="254">
        <f>'R-Definição'!L27</f>
        <v>1.5</v>
      </c>
      <c r="T12" s="850" t="s">
        <v>21</v>
      </c>
      <c r="U12" s="754"/>
      <c r="V12" s="476"/>
      <c r="W12" s="476"/>
      <c r="X12" s="476"/>
      <c r="Y12" s="476"/>
      <c r="Z12" s="476"/>
      <c r="AA12" s="476"/>
      <c r="AB12" s="476"/>
      <c r="AC12" s="476"/>
      <c r="AD12" s="476"/>
      <c r="AE12" s="476"/>
      <c r="AF12" s="476"/>
      <c r="AG12" s="476"/>
      <c r="AH12" s="476"/>
    </row>
    <row r="13" spans="1:34" ht="18" customHeight="1" x14ac:dyDescent="0.3">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25</v>
      </c>
      <c r="R13" s="255" t="s">
        <v>195</v>
      </c>
      <c r="S13" s="254">
        <f>'R-Definição'!L28</f>
        <v>1.4375</v>
      </c>
      <c r="T13" s="850" t="s">
        <v>21</v>
      </c>
      <c r="U13" s="754"/>
      <c r="V13" s="476"/>
      <c r="W13" s="476"/>
      <c r="X13" s="476"/>
      <c r="Y13" s="476"/>
      <c r="Z13" s="476"/>
      <c r="AA13" s="476"/>
      <c r="AB13" s="476"/>
      <c r="AC13" s="476"/>
      <c r="AD13" s="476"/>
      <c r="AE13" s="476"/>
      <c r="AF13" s="476"/>
      <c r="AG13" s="476"/>
      <c r="AH13" s="476"/>
    </row>
    <row r="14" spans="1:34" ht="18" customHeight="1" x14ac:dyDescent="0.3">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25</v>
      </c>
      <c r="R14" s="255" t="s">
        <v>195</v>
      </c>
      <c r="S14" s="254">
        <f>'R-Definição'!L29</f>
        <v>0.375</v>
      </c>
      <c r="T14" s="850" t="s">
        <v>21</v>
      </c>
      <c r="U14" s="754"/>
      <c r="V14" s="476"/>
      <c r="W14" s="476"/>
      <c r="X14" s="476"/>
      <c r="Y14" s="476"/>
      <c r="Z14" s="476"/>
      <c r="AA14" s="476"/>
      <c r="AB14" s="476"/>
      <c r="AC14" s="476"/>
      <c r="AD14" s="476"/>
      <c r="AE14" s="476"/>
      <c r="AF14" s="476"/>
      <c r="AG14" s="476"/>
      <c r="AH14" s="476"/>
    </row>
    <row r="15" spans="1:34" ht="18" customHeight="1" x14ac:dyDescent="0.3">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3">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1" t="s">
        <v>800</v>
      </c>
      <c r="AC16" s="2160"/>
      <c r="AD16" s="476"/>
      <c r="AE16" s="476"/>
      <c r="AF16" s="476"/>
      <c r="AG16" s="476"/>
      <c r="AH16" s="476"/>
    </row>
    <row r="17" spans="1:34" ht="18" customHeight="1" x14ac:dyDescent="0.3">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85</v>
      </c>
      <c r="R17" s="807" t="s">
        <v>195</v>
      </c>
      <c r="S17" s="839">
        <f>Y18-(SUM(Z18:AC18))</f>
        <v>102.85</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3">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85</v>
      </c>
      <c r="R18" s="767" t="s">
        <v>195</v>
      </c>
      <c r="S18" s="760">
        <f>Y19-(SUM(Z19:AC19))</f>
        <v>6.375</v>
      </c>
      <c r="T18" s="852" t="s">
        <v>21</v>
      </c>
      <c r="U18" s="754"/>
      <c r="V18" s="476"/>
      <c r="W18" s="507" t="s">
        <v>247</v>
      </c>
      <c r="X18" s="786"/>
      <c r="Y18" s="254">
        <f>'R-Definição'!$D$14+'R-Definição'!$O$32</f>
        <v>102.85</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3">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6.375</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3">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100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3">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3">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3">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3">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3">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3">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3">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3">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3">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3">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3">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3">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3">
      <c r="A33" s="246"/>
      <c r="B33" s="433"/>
      <c r="C33" s="234" t="s">
        <v>278</v>
      </c>
      <c r="D33" s="785" t="s">
        <v>792</v>
      </c>
      <c r="E33" s="567"/>
      <c r="F33" s="567"/>
      <c r="G33" s="566"/>
      <c r="H33" s="634"/>
      <c r="I33" s="781">
        <f>IF($K$40&lt;&gt;0,K33/$K$40*100,0)</f>
        <v>21.795800144822596</v>
      </c>
      <c r="J33" s="255" t="s">
        <v>195</v>
      </c>
      <c r="K33" s="254">
        <f>IF(OR(AND('R-Definição'!E122="Rota atual",'R-Definição'!E123="Aterro sanitário"),'R-Definição'!E122="Rota Futura"),'R-Definição'!N95+'R-Definição'!N96+'R-Definição'!N97+'R-Definição'!N98+'R-Definição'!N99,0)</f>
        <v>26.337500000000006</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3">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3">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3">
      <c r="A36" s="246"/>
      <c r="B36" s="433"/>
      <c r="C36" s="244" t="s">
        <v>248</v>
      </c>
      <c r="D36" s="507" t="s">
        <v>786</v>
      </c>
      <c r="E36" s="507"/>
      <c r="F36" s="507"/>
      <c r="G36" s="132"/>
      <c r="H36" s="132"/>
      <c r="I36" s="501">
        <f>IF($K$40&lt;&gt;0,K36/$K$40*100,0)</f>
        <v>78.204199855177407</v>
      </c>
      <c r="J36" s="255" t="s">
        <v>195</v>
      </c>
      <c r="K36" s="254">
        <f>IF(K37&lt;&gt;0,0,'R-Definição'!I51)</f>
        <v>94.5</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3">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3">
      <c r="A38" s="246"/>
      <c r="B38" s="433"/>
      <c r="C38" s="244" t="s">
        <v>253</v>
      </c>
      <c r="D38" s="757" t="s">
        <v>787</v>
      </c>
      <c r="E38" s="757"/>
      <c r="F38" s="757"/>
      <c r="G38" s="758"/>
      <c r="H38" s="758"/>
      <c r="I38" s="501">
        <f>IF($K$40&lt;&gt;0,K38/$K$40*100,0)</f>
        <v>0</v>
      </c>
      <c r="J38" s="255" t="s">
        <v>195</v>
      </c>
      <c r="K38" s="254">
        <f>IF('R-Definição'!I29="Biosecagem CDR",'R-Definição'!I52+SUM(AC18:AC19),'R-Definição'!I52)</f>
        <v>0</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3">
      <c r="A39" s="246"/>
      <c r="B39" s="433"/>
      <c r="C39" s="829" t="s">
        <v>280</v>
      </c>
      <c r="D39" s="826" t="s">
        <v>64</v>
      </c>
      <c r="E39" s="825"/>
      <c r="F39" s="825"/>
      <c r="G39" s="697"/>
      <c r="H39" s="763"/>
      <c r="I39" s="781">
        <f>IF($K$40&lt;&gt;0,K39/$K$40*100,0)</f>
        <v>0</v>
      </c>
      <c r="J39" s="255" t="s">
        <v>195</v>
      </c>
      <c r="K39" s="254">
        <f>'R-Definição'!E112</f>
        <v>0</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3">
      <c r="A40" s="246"/>
      <c r="B40" s="433"/>
      <c r="C40" s="259"/>
      <c r="D40" s="147" t="s">
        <v>53</v>
      </c>
      <c r="E40" s="147"/>
      <c r="F40" s="147"/>
      <c r="G40" s="147"/>
      <c r="H40" s="257"/>
      <c r="I40" s="828">
        <f>SUM(I29:I39)</f>
        <v>100</v>
      </c>
      <c r="J40" s="515" t="s">
        <v>195</v>
      </c>
      <c r="K40" s="241">
        <f>SUM(K29:K39)</f>
        <v>120.83750000000001</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3">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3">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3">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3">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3">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3">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3">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3">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3">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3">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3">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3">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3">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3">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3">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3">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3">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3">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3">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3">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3">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3">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3">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3">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3">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3">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3">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3">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3">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3">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3">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3">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3">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3">
      <c r="A74" s="2"/>
      <c r="B74" s="24"/>
      <c r="C74" s="24"/>
      <c r="D74" s="24"/>
      <c r="E74" s="24"/>
      <c r="F74" s="24"/>
      <c r="G74" s="24"/>
      <c r="H74" s="24"/>
      <c r="I74" s="24"/>
      <c r="J74" s="24"/>
      <c r="K74" s="24"/>
      <c r="L74" s="24"/>
      <c r="M74" s="24"/>
      <c r="N74" s="24"/>
      <c r="O74" s="24"/>
      <c r="P74" s="24"/>
      <c r="Q74" s="24"/>
      <c r="R74" s="2"/>
      <c r="S74" s="2"/>
      <c r="T74" s="25"/>
      <c r="U74" s="25"/>
    </row>
    <row r="75" spans="1:34" ht="13.95" customHeight="1" x14ac:dyDescent="0.3">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3">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3">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3">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3">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3">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3">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3">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3">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3">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3">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3">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3">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3">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3">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3">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3">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3">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3">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3">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3">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3">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3">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3">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3">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3">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3">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3">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3">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3">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3">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3">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3">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3">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3">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3">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3">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3">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3">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3">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3">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3">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3">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3">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3">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3">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3">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3">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3">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3">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3">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3">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3">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3">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3">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3">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3">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3">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3">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3">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3">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3">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3">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3">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3">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3">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3">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3">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3">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3">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3">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3">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3">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3">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3">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3">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3">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3">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3">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3">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3">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3">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3">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3">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3">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3">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3">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3">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3">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3">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3">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3">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3">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3">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3">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3">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3">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3">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3">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3">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3">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3">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3">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3">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3">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3">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3">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3">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3">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3">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3">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3">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3">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3">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3">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3">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3">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3">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3">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3">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3">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3">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3">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3">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3">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3">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3">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3">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3">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3">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3">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3">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3">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3">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3">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3">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3">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3">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3">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3">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3">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3">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3">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3">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3">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3">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3">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3">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3">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3">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3">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3">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3">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3">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3">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3">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3">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3">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3">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3">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3">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3">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3">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3">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3">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3">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3">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3">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3">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3">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3">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3">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3">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3">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3">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3">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3">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3">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3">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3">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3">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3">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3">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3">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3">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3">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4140625" defaultRowHeight="15" customHeight="1" outlineLevelRow="1" x14ac:dyDescent="0.3"/>
  <cols>
    <col min="1" max="1" width="1" customWidth="1"/>
    <col min="2" max="2" width="50.33203125" customWidth="1"/>
    <col min="3" max="4" width="13.6640625" customWidth="1"/>
    <col min="5" max="5" width="1.6640625" customWidth="1"/>
    <col min="6" max="6" width="51.109375" customWidth="1"/>
    <col min="7" max="8" width="15.33203125" customWidth="1"/>
    <col min="9" max="9" width="1.6640625" customWidth="1"/>
    <col min="10" max="10" width="49.6640625" customWidth="1"/>
    <col min="11" max="11" width="15.44140625" style="494" customWidth="1"/>
    <col min="12" max="12" width="15.44140625" customWidth="1"/>
    <col min="13" max="13" width="2.6640625" customWidth="1"/>
    <col min="14" max="14" width="48.88671875" customWidth="1"/>
    <col min="15" max="15" width="16.44140625" customWidth="1"/>
    <col min="16" max="16" width="14.44140625" customWidth="1"/>
    <col min="17" max="17" width="5.33203125" customWidth="1"/>
    <col min="18" max="18" width="36.44140625" style="1008" customWidth="1"/>
    <col min="19" max="19" width="23.44140625" style="1008" customWidth="1"/>
    <col min="20" max="20" width="18.44140625" style="1008" customWidth="1"/>
    <col min="21" max="21" width="31.6640625" style="1008" customWidth="1"/>
    <col min="22" max="22" width="38.33203125" style="1008" customWidth="1"/>
    <col min="23" max="23" width="20.44140625" style="1008" customWidth="1"/>
    <col min="24" max="24" width="13.44140625" style="1008" customWidth="1"/>
    <col min="25" max="25" width="10.44140625" style="1008" customWidth="1"/>
    <col min="26" max="26" width="14.44140625" style="1604" customWidth="1"/>
  </cols>
  <sheetData>
    <row r="1" spans="1:28" ht="4.5" customHeight="1" thickBot="1" x14ac:dyDescent="0.35">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95" customHeight="1" x14ac:dyDescent="0.3">
      <c r="A2" s="34"/>
      <c r="B2" s="26"/>
      <c r="C2" s="2280" t="s">
        <v>473</v>
      </c>
      <c r="D2" s="2128"/>
      <c r="E2" s="862"/>
      <c r="F2" s="1574" t="s">
        <v>485</v>
      </c>
      <c r="G2" s="2271" t="str">
        <f>IF('R-Definição'!D2&lt;&gt;0,'R-Definição'!D2,"")</f>
        <v>CIRSOP - Consórcio RSU Oeste Paulista</v>
      </c>
      <c r="H2" s="2272"/>
      <c r="I2" s="36"/>
      <c r="J2" s="34"/>
      <c r="K2" s="33"/>
      <c r="L2" s="34"/>
      <c r="M2" s="36"/>
      <c r="N2" s="36"/>
      <c r="O2" s="36"/>
      <c r="P2" s="36"/>
      <c r="Q2" s="36"/>
      <c r="R2" s="988"/>
      <c r="S2" s="989"/>
      <c r="T2" s="989"/>
      <c r="U2" s="989"/>
      <c r="V2" s="989"/>
      <c r="W2" s="989"/>
      <c r="X2" s="989"/>
      <c r="Y2" s="989"/>
      <c r="Z2" s="1597"/>
    </row>
    <row r="3" spans="1:28" ht="19.95" customHeight="1" thickBot="1" x14ac:dyDescent="0.35">
      <c r="A3" s="34"/>
      <c r="B3" s="26"/>
      <c r="C3" s="2279" t="str">
        <f>Apresentação!I2</f>
        <v>RC-RSU V.1.0 - 15/10/2020</v>
      </c>
      <c r="D3" s="2279"/>
      <c r="E3" s="862"/>
      <c r="F3" s="1575" t="s">
        <v>486</v>
      </c>
      <c r="G3" s="2273" t="str">
        <f>IF('R-Definição'!D3&lt;&gt;0,'R-Definição'!D3,"")</f>
        <v>Biodigestão c/ Prod. E. Elétrica</v>
      </c>
      <c r="H3" s="2274"/>
      <c r="I3" s="36"/>
      <c r="J3" s="34"/>
      <c r="K3" s="33"/>
      <c r="L3" s="34"/>
      <c r="M3" s="36"/>
      <c r="N3" s="36"/>
      <c r="O3" s="36"/>
      <c r="P3" s="36"/>
      <c r="Q3" s="36"/>
      <c r="R3" s="988"/>
      <c r="S3" s="989"/>
      <c r="T3" s="989"/>
      <c r="U3" s="989"/>
      <c r="V3" s="989"/>
      <c r="W3" s="989"/>
      <c r="X3" s="989"/>
      <c r="Y3" s="989"/>
      <c r="Z3" s="1597"/>
    </row>
    <row r="4" spans="1:28" ht="4.95" customHeight="1" thickBot="1" x14ac:dyDescent="0.35">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95" customHeight="1" thickTop="1" x14ac:dyDescent="0.3">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55" customHeight="1" x14ac:dyDescent="0.3">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55" customHeight="1" x14ac:dyDescent="0.3">
      <c r="A7" s="1735"/>
      <c r="B7" s="2063" t="s">
        <v>294</v>
      </c>
      <c r="C7" s="2018" t="s">
        <v>21</v>
      </c>
      <c r="D7" s="2019">
        <f>D38</f>
        <v>250</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720.30140335170802</v>
      </c>
      <c r="V7" s="992">
        <f>L59</f>
        <v>152.66022729867731</v>
      </c>
      <c r="W7" s="992">
        <f>L62</f>
        <v>0</v>
      </c>
      <c r="X7" s="992">
        <f>L65</f>
        <v>0</v>
      </c>
      <c r="Y7" s="992">
        <f>L68</f>
        <v>164.39501385795026</v>
      </c>
      <c r="Z7" s="992">
        <f>L71</f>
        <v>0</v>
      </c>
      <c r="AA7" s="992">
        <f>L74</f>
        <v>193.65151802043272</v>
      </c>
      <c r="AB7" s="1622"/>
    </row>
    <row r="8" spans="1:28" s="2017" customFormat="1" ht="17.55" customHeight="1" x14ac:dyDescent="0.3">
      <c r="A8" s="1735"/>
      <c r="B8" s="2063" t="s">
        <v>297</v>
      </c>
      <c r="C8" s="2018" t="s">
        <v>298</v>
      </c>
      <c r="D8" s="2019">
        <f>D40</f>
        <v>78000</v>
      </c>
      <c r="E8" s="1735"/>
      <c r="F8" s="2063" t="s">
        <v>562</v>
      </c>
      <c r="G8" s="2018" t="s">
        <v>292</v>
      </c>
      <c r="H8" s="2015">
        <f>O78</f>
        <v>18.167024120372062</v>
      </c>
      <c r="I8" s="1735"/>
      <c r="J8" s="1735"/>
      <c r="K8" s="2016"/>
      <c r="L8" s="1735"/>
      <c r="M8" s="1735"/>
      <c r="N8" s="1735"/>
      <c r="O8" s="1735"/>
      <c r="P8" s="1735"/>
      <c r="Q8" s="1735"/>
      <c r="R8" s="991" t="s">
        <v>300</v>
      </c>
      <c r="S8" s="1623">
        <v>0</v>
      </c>
      <c r="T8" s="993">
        <f>L52</f>
        <v>0</v>
      </c>
      <c r="U8" s="993">
        <f>L55</f>
        <v>718.00012091288465</v>
      </c>
      <c r="V8" s="993">
        <f>L58</f>
        <v>402.57273794468387</v>
      </c>
      <c r="W8" s="993">
        <f>L61</f>
        <v>0</v>
      </c>
      <c r="X8" s="993">
        <f>L64</f>
        <v>0</v>
      </c>
      <c r="Y8" s="993">
        <f>L67</f>
        <v>375.0739074651022</v>
      </c>
      <c r="Z8" s="993">
        <f>L70</f>
        <v>0</v>
      </c>
      <c r="AA8" s="993">
        <f>L73</f>
        <v>299.93834918180562</v>
      </c>
      <c r="AB8" s="1622"/>
    </row>
    <row r="9" spans="1:28" s="2017" customFormat="1" ht="17.55" customHeight="1" x14ac:dyDescent="0.3">
      <c r="A9" s="1735"/>
      <c r="B9" s="2064" t="s">
        <v>558</v>
      </c>
      <c r="C9" s="2020" t="s">
        <v>298</v>
      </c>
      <c r="D9" s="2022">
        <f>D44</f>
        <v>31478.850000000002</v>
      </c>
      <c r="E9" s="1735"/>
      <c r="F9" s="2064" t="s">
        <v>936</v>
      </c>
      <c r="G9" s="2020" t="s">
        <v>292</v>
      </c>
      <c r="H9" s="2023">
        <f>IF('R-Definição'!$E$121="Existente",((D88+D89)*D44+(D89*D11))/1000000,((D85+D88)*D44+(D89*D11))/1000000)</f>
        <v>1.5739425</v>
      </c>
      <c r="I9" s="1735"/>
      <c r="J9" s="1735"/>
      <c r="K9" s="2016"/>
      <c r="L9" s="1735"/>
      <c r="M9" s="1735"/>
      <c r="N9" s="1735"/>
      <c r="O9" s="1735"/>
      <c r="P9" s="1735"/>
      <c r="Q9" s="1735"/>
      <c r="R9" s="991" t="s">
        <v>301</v>
      </c>
      <c r="S9" s="1623">
        <f>L92</f>
        <v>42.8</v>
      </c>
      <c r="T9" s="992">
        <f>P53</f>
        <v>0</v>
      </c>
      <c r="U9" s="992">
        <f>P56</f>
        <v>118.96751469307694</v>
      </c>
      <c r="V9" s="992">
        <f>P59</f>
        <v>22.230390685235722</v>
      </c>
      <c r="W9" s="992">
        <f>P62</f>
        <v>0</v>
      </c>
      <c r="X9" s="992">
        <f>P65</f>
        <v>0</v>
      </c>
      <c r="Y9" s="992">
        <f>P68</f>
        <v>17.990891233201921</v>
      </c>
      <c r="Z9" s="992">
        <f>P71</f>
        <v>0</v>
      </c>
      <c r="AA9" s="992">
        <f>IF('R-Definição'!E121="Novo",P74,(D44+D46)*D89/D40)</f>
        <v>73.721769034281081</v>
      </c>
      <c r="AB9" s="1622"/>
    </row>
    <row r="10" spans="1:28" s="2017" customFormat="1" ht="17.55" customHeight="1" x14ac:dyDescent="0.3">
      <c r="A10" s="1735"/>
      <c r="B10" s="2063" t="s">
        <v>715</v>
      </c>
      <c r="C10" s="2018" t="s">
        <v>195</v>
      </c>
      <c r="D10" s="2024">
        <f>D45</f>
        <v>0.59642499999999987</v>
      </c>
      <c r="E10" s="1735"/>
      <c r="F10" s="2064" t="str">
        <f>IF(D24="Sim","Custo Total Rota Tecnológica COM Coleta","Custo Total Rota Tecnológica SEM Coleta")</f>
        <v>Custo Total Rota Tecnológica SEM Coleta</v>
      </c>
      <c r="G10" s="2020" t="s">
        <v>292</v>
      </c>
      <c r="H10" s="2025">
        <f>H6+H8+H9</f>
        <v>19.740966620372063</v>
      </c>
      <c r="I10" s="1735"/>
      <c r="J10" s="1735"/>
      <c r="K10" s="2016"/>
      <c r="L10" s="1735"/>
      <c r="M10" s="1735"/>
      <c r="N10" s="1735"/>
      <c r="O10" s="1735"/>
      <c r="P10" s="1735"/>
      <c r="Q10" s="1735"/>
      <c r="R10" s="991" t="s">
        <v>302</v>
      </c>
      <c r="S10" s="1623">
        <v>0</v>
      </c>
      <c r="T10" s="993">
        <f>P52</f>
        <v>0</v>
      </c>
      <c r="U10" s="993">
        <f>P55</f>
        <v>118.58742678670927</v>
      </c>
      <c r="V10" s="993">
        <f>P58</f>
        <v>58.622664213817011</v>
      </c>
      <c r="W10" s="993">
        <f>P61</f>
        <v>0</v>
      </c>
      <c r="X10" s="993">
        <f>P64</f>
        <v>0</v>
      </c>
      <c r="Y10" s="993">
        <f>P67</f>
        <v>41.046949753886118</v>
      </c>
      <c r="Z10" s="993">
        <f>P70</f>
        <v>0</v>
      </c>
      <c r="AA10" s="992">
        <f>IF('R-Definição'!E121="Novo",P73,D89)</f>
        <v>114.18441708559973</v>
      </c>
      <c r="AB10" s="1622"/>
    </row>
    <row r="11" spans="1:28" s="2017" customFormat="1" ht="17.55" customHeight="1" x14ac:dyDescent="0.3">
      <c r="A11" s="1735"/>
      <c r="B11" s="2064" t="s">
        <v>559</v>
      </c>
      <c r="C11" s="2020" t="s">
        <v>298</v>
      </c>
      <c r="D11" s="2022">
        <f>'R-Fluxo Massa'!AS49*312</f>
        <v>0</v>
      </c>
      <c r="E11" s="1735"/>
      <c r="F11" s="2063" t="s">
        <v>1113</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51.029223125909809</v>
      </c>
      <c r="V11" s="994">
        <f>IF(V12&gt;0,($L44*$D112+$L46*$D111)/(V12*312),0)</f>
        <v>51.334528479498417</v>
      </c>
      <c r="W11" s="994">
        <f>IF(W12&gt;0,($L45*$D112+$L47*$D111)/(W12*312),0)</f>
        <v>0</v>
      </c>
      <c r="X11" s="994">
        <f>IF(X12&gt;0,($P42*$D114+$P45*$D117)/(X12*312),0)</f>
        <v>0</v>
      </c>
      <c r="Y11" s="994">
        <f>IF(Y12&gt;0,($L48*$D108+$L49*$D109)/(Y12*312),0)</f>
        <v>0</v>
      </c>
      <c r="Z11" s="994">
        <f>IF(Z12&gt;0,($P43*$D114)/(Z12*312),0)</f>
        <v>0</v>
      </c>
      <c r="AA11" s="994">
        <f>IF(AA12&gt;0,($P44*$D114+$P46*$D117)/(AA12*312),0)</f>
        <v>0</v>
      </c>
      <c r="AB11" s="1622"/>
    </row>
    <row r="12" spans="1:28" s="2017" customFormat="1" ht="17.55" customHeight="1" x14ac:dyDescent="0.3">
      <c r="A12" s="1735"/>
      <c r="B12" s="2063" t="s">
        <v>560</v>
      </c>
      <c r="C12" s="2018" t="s">
        <v>195</v>
      </c>
      <c r="D12" s="2024">
        <f>(D16)/D8</f>
        <v>8.6464214998186198E-2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19.740966620372063</v>
      </c>
      <c r="I12" s="1735"/>
      <c r="J12" s="1735"/>
      <c r="K12" s="2016"/>
      <c r="L12" s="1735"/>
      <c r="M12" s="1735"/>
      <c r="N12" s="1735"/>
      <c r="O12" s="1735"/>
      <c r="P12" s="1735"/>
      <c r="Q12" s="1735"/>
      <c r="R12" s="991" t="s">
        <v>303</v>
      </c>
      <c r="S12" s="1623">
        <f>D38</f>
        <v>250</v>
      </c>
      <c r="T12" s="992">
        <f>$H52/312</f>
        <v>0</v>
      </c>
      <c r="U12" s="992">
        <f>$H55/312</f>
        <v>250.80128205128204</v>
      </c>
      <c r="V12" s="992">
        <f>$H58/312</f>
        <v>94.802884615384613</v>
      </c>
      <c r="W12" s="992">
        <f>$H61/312</f>
        <v>0</v>
      </c>
      <c r="X12" s="992">
        <f>$H64/312</f>
        <v>0</v>
      </c>
      <c r="Y12" s="992">
        <f>$H67/312</f>
        <v>109.57508012820512</v>
      </c>
      <c r="Z12" s="992">
        <f>$H70/312</f>
        <v>0</v>
      </c>
      <c r="AA12" s="992">
        <f>(D44+D46)/312</f>
        <v>100.89375000000001</v>
      </c>
      <c r="AB12" s="1622"/>
    </row>
    <row r="13" spans="1:28" s="2017" customFormat="1" ht="17.55" customHeight="1" thickBot="1" x14ac:dyDescent="0.35">
      <c r="A13" s="1735"/>
      <c r="B13" s="2065" t="s">
        <v>937</v>
      </c>
      <c r="C13" s="2026" t="s">
        <v>195</v>
      </c>
      <c r="D13" s="2027">
        <f>D16/((SUM('R-Entrada'!G28:G33))*312)</f>
        <v>0.27104769591907901</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253.08931564579569</v>
      </c>
      <c r="I13" s="1735"/>
      <c r="J13" s="1735"/>
      <c r="K13" s="2016"/>
      <c r="L13" s="1735"/>
      <c r="M13" s="1735"/>
      <c r="N13" s="1735"/>
      <c r="O13" s="1735"/>
      <c r="P13" s="1735"/>
      <c r="Q13" s="1735"/>
      <c r="R13" s="1617"/>
      <c r="S13" s="1618"/>
      <c r="T13" s="1618"/>
      <c r="U13" s="1618"/>
      <c r="V13" s="1618"/>
      <c r="W13" s="1618"/>
      <c r="X13" s="1618"/>
      <c r="Y13" s="1618"/>
      <c r="Z13" s="1618"/>
      <c r="AA13" s="1621"/>
    </row>
    <row r="14" spans="1:28" ht="4.95" customHeight="1" thickTop="1" thickBot="1" x14ac:dyDescent="0.35">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95" customHeight="1" thickTop="1" x14ac:dyDescent="0.3">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55" customHeight="1" x14ac:dyDescent="0.3">
      <c r="A16" s="1735"/>
      <c r="B16" s="2064" t="s">
        <v>564</v>
      </c>
      <c r="C16" s="2029" t="s">
        <v>298</v>
      </c>
      <c r="D16" s="2030">
        <f>H36</f>
        <v>6744.2087698585237</v>
      </c>
      <c r="E16" s="65"/>
      <c r="F16" s="2063" t="s">
        <v>565</v>
      </c>
      <c r="G16" s="2031" t="s">
        <v>304</v>
      </c>
      <c r="H16" s="2015">
        <f>K78</f>
        <v>96.018636677243919</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55" customHeight="1" x14ac:dyDescent="0.3">
      <c r="A17" s="1735"/>
      <c r="B17" s="2064" t="s">
        <v>566</v>
      </c>
      <c r="C17" s="2029" t="s">
        <v>298</v>
      </c>
      <c r="D17" s="2030">
        <f>SUM(P36:P41)</f>
        <v>0</v>
      </c>
      <c r="E17" s="65"/>
      <c r="F17" s="2063" t="s">
        <v>567</v>
      </c>
      <c r="G17" s="2031" t="s">
        <v>195</v>
      </c>
      <c r="H17" s="2032">
        <f>G76</f>
        <v>0.36798348941648906</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55" customHeight="1" x14ac:dyDescent="0.3">
      <c r="A18" s="1735"/>
      <c r="B18" s="2064" t="s">
        <v>989</v>
      </c>
      <c r="C18" s="2029" t="s">
        <v>298</v>
      </c>
      <c r="D18" s="2030">
        <f>H37+H38</f>
        <v>16626.271663925203</v>
      </c>
      <c r="E18" s="65"/>
      <c r="F18" s="2064" t="s">
        <v>568</v>
      </c>
      <c r="G18" s="2029" t="s">
        <v>305</v>
      </c>
      <c r="H18" s="2022">
        <f>H24*1000000/D40</f>
        <v>1828.8232847473485</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55" customHeight="1" x14ac:dyDescent="0.3">
      <c r="A19" s="1735"/>
      <c r="B19" s="2064" t="s">
        <v>569</v>
      </c>
      <c r="C19" s="2029" t="s">
        <v>298</v>
      </c>
      <c r="D19" s="2030">
        <f>H39+H40</f>
        <v>15183.983506308439</v>
      </c>
      <c r="E19" s="65"/>
      <c r="F19" s="2064" t="str">
        <f>J77</f>
        <v>Reinvestimento Total Rota (cada 5 anos)</v>
      </c>
      <c r="G19" s="2033" t="s">
        <v>304</v>
      </c>
      <c r="H19" s="2034">
        <f>K77</f>
        <v>1.9806429540099981</v>
      </c>
      <c r="I19" s="1735"/>
      <c r="J19" s="1735"/>
      <c r="K19" s="2016"/>
      <c r="L19" s="1735"/>
      <c r="M19" s="1735"/>
      <c r="N19" s="1735"/>
      <c r="O19" s="1735"/>
      <c r="P19" s="1735"/>
      <c r="Q19" s="1735"/>
      <c r="R19" s="988"/>
      <c r="S19" s="989"/>
      <c r="T19" s="989"/>
      <c r="U19" s="989"/>
      <c r="V19" s="989"/>
      <c r="W19" s="989"/>
      <c r="X19" s="989"/>
      <c r="Y19" s="989"/>
      <c r="Z19" s="1597"/>
    </row>
    <row r="20" spans="1:26" s="2017" customFormat="1" ht="17.55" customHeight="1" x14ac:dyDescent="0.3">
      <c r="A20" s="1735"/>
      <c r="B20" s="2064" t="s">
        <v>570</v>
      </c>
      <c r="C20" s="2029" t="s">
        <v>306</v>
      </c>
      <c r="D20" s="2030">
        <f>H41</f>
        <v>0</v>
      </c>
      <c r="E20" s="65"/>
      <c r="F20" s="2066" t="s">
        <v>571</v>
      </c>
      <c r="G20" s="2035" t="s">
        <v>304</v>
      </c>
      <c r="H20" s="2036">
        <f>K75</f>
        <v>18.722902202845312</v>
      </c>
      <c r="I20" s="1735"/>
      <c r="J20" s="1735"/>
      <c r="K20" s="2016"/>
      <c r="L20" s="1735"/>
      <c r="M20" s="1735"/>
      <c r="N20" s="1735"/>
      <c r="O20" s="1735"/>
      <c r="P20" s="1735"/>
      <c r="Q20" s="1735"/>
      <c r="R20" s="988"/>
      <c r="S20" s="989"/>
      <c r="T20" s="989"/>
      <c r="U20" s="989"/>
      <c r="V20" s="989"/>
      <c r="W20" s="989"/>
      <c r="X20" s="989"/>
      <c r="Y20" s="989"/>
      <c r="Z20" s="1597"/>
    </row>
    <row r="21" spans="1:26" s="2017" customFormat="1" ht="17.55" customHeight="1" thickBot="1" x14ac:dyDescent="0.35">
      <c r="A21" s="1735"/>
      <c r="B21" s="2065" t="s">
        <v>572</v>
      </c>
      <c r="C21" s="2037" t="s">
        <v>307</v>
      </c>
      <c r="D21" s="2038">
        <f>H42</f>
        <v>0</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5" customHeight="1" thickTop="1" thickBot="1" x14ac:dyDescent="0.35">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95" customHeight="1" thickTop="1" x14ac:dyDescent="0.3">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55" customHeight="1" x14ac:dyDescent="0.3">
      <c r="A24" s="1735"/>
      <c r="B24" s="2063" t="s">
        <v>575</v>
      </c>
      <c r="C24" s="2041" t="s">
        <v>308</v>
      </c>
      <c r="D24" s="2042" t="s">
        <v>7</v>
      </c>
      <c r="E24" s="1735"/>
      <c r="F24" s="2063" t="s">
        <v>954</v>
      </c>
      <c r="G24" s="2031" t="s">
        <v>304</v>
      </c>
      <c r="H24" s="2043">
        <f>'C-FCL Real'!G11</f>
        <v>142.64821621029319</v>
      </c>
      <c r="I24" s="1735"/>
      <c r="J24" s="1735"/>
      <c r="K24" s="2016"/>
      <c r="L24" s="1735"/>
      <c r="M24" s="1735"/>
      <c r="N24" s="1735"/>
      <c r="O24" s="1735"/>
      <c r="P24" s="1735"/>
      <c r="Q24" s="1735"/>
      <c r="R24" s="988"/>
      <c r="S24" s="989"/>
      <c r="T24" s="989"/>
      <c r="U24" s="989"/>
      <c r="V24" s="989"/>
      <c r="W24" s="989"/>
      <c r="X24" s="989"/>
      <c r="Y24" s="989"/>
      <c r="Z24" s="1597"/>
    </row>
    <row r="25" spans="1:26" s="2017" customFormat="1" ht="17.55" customHeight="1" thickBot="1" x14ac:dyDescent="0.35">
      <c r="A25" s="1735"/>
      <c r="B25" s="2063" t="s">
        <v>576</v>
      </c>
      <c r="C25" s="2041" t="s">
        <v>308</v>
      </c>
      <c r="D25" s="2042" t="s">
        <v>7</v>
      </c>
      <c r="E25" s="1735"/>
      <c r="F25" s="2071" t="s">
        <v>1109</v>
      </c>
      <c r="G25" s="2059" t="s">
        <v>195</v>
      </c>
      <c r="H25" s="2060">
        <f>'C-FCL Real'!C28</f>
        <v>9.74E-2</v>
      </c>
      <c r="I25" s="1735"/>
      <c r="J25" s="1735"/>
      <c r="K25" s="2016"/>
      <c r="L25" s="1735"/>
      <c r="M25" s="1735"/>
      <c r="N25" s="1735"/>
      <c r="O25" s="1735"/>
      <c r="P25" s="1735"/>
      <c r="Q25" s="1735"/>
      <c r="R25" s="988"/>
      <c r="S25" s="989"/>
      <c r="T25" s="989"/>
      <c r="U25" s="989"/>
      <c r="V25" s="989"/>
      <c r="W25" s="989"/>
      <c r="X25" s="989"/>
      <c r="Y25" s="989"/>
      <c r="Z25" s="1597"/>
    </row>
    <row r="26" spans="1:26" s="2017" customFormat="1" ht="17.55" customHeight="1" x14ac:dyDescent="0.3">
      <c r="A26" s="1735"/>
      <c r="B26" s="2064" t="s">
        <v>953</v>
      </c>
      <c r="C26" s="2033" t="s">
        <v>195</v>
      </c>
      <c r="D26" s="2044">
        <v>1</v>
      </c>
      <c r="E26" s="1735"/>
      <c r="F26" s="2072" t="str">
        <f>'C-FCL Real'!K28</f>
        <v>Índice de Retorno do Inv.: Pay Back</v>
      </c>
      <c r="G26" s="2057" t="s">
        <v>309</v>
      </c>
      <c r="H26" s="2058">
        <f>'C-FCL Real'!H13</f>
        <v>53</v>
      </c>
      <c r="I26" s="1735"/>
      <c r="J26" s="1735"/>
      <c r="K26" s="2016"/>
      <c r="L26" s="1735"/>
      <c r="M26" s="1735"/>
      <c r="N26" s="1735"/>
      <c r="O26" s="1735"/>
      <c r="P26" s="1735"/>
      <c r="Q26" s="1735"/>
      <c r="R26" s="988"/>
      <c r="S26" s="989"/>
      <c r="T26" s="989"/>
      <c r="U26" s="989"/>
      <c r="V26" s="989"/>
      <c r="W26" s="989"/>
      <c r="X26" s="989"/>
      <c r="Y26" s="989"/>
      <c r="Z26" s="1597"/>
    </row>
    <row r="27" spans="1:26" s="2017" customFormat="1" ht="17.55" customHeight="1" x14ac:dyDescent="0.3">
      <c r="A27" s="1735"/>
      <c r="B27" s="2068" t="s">
        <v>577</v>
      </c>
      <c r="C27" s="2033" t="s">
        <v>195</v>
      </c>
      <c r="D27" s="2045">
        <v>4.7000000000000002E-3</v>
      </c>
      <c r="E27" s="1735"/>
      <c r="F27" s="2063" t="str">
        <f>'C-FCL Real'!K26</f>
        <v>Índice de Retorno do Inv.: VPL</v>
      </c>
      <c r="G27" s="2031" t="s">
        <v>304</v>
      </c>
      <c r="H27" s="2046">
        <f>'C-FCL Real'!H8</f>
        <v>-147.63119808902877</v>
      </c>
      <c r="I27" s="1735"/>
      <c r="J27" s="1735"/>
      <c r="K27" s="2016"/>
      <c r="L27" s="1735"/>
      <c r="M27" s="1735"/>
      <c r="N27" s="1735"/>
      <c r="O27" s="1735"/>
      <c r="P27" s="1735"/>
      <c r="Q27" s="1735"/>
      <c r="R27" s="988"/>
      <c r="S27" s="989"/>
      <c r="T27" s="989"/>
      <c r="U27" s="989"/>
      <c r="V27" s="989"/>
      <c r="W27" s="989"/>
      <c r="X27" s="989"/>
      <c r="Y27" s="989"/>
      <c r="Z27" s="1597"/>
    </row>
    <row r="28" spans="1:26" s="2017" customFormat="1" ht="17.55" customHeight="1" x14ac:dyDescent="0.3">
      <c r="A28" s="1735"/>
      <c r="B28" s="2064" t="s">
        <v>1110</v>
      </c>
      <c r="C28" s="2033" t="s">
        <v>292</v>
      </c>
      <c r="D28" s="2047">
        <v>1</v>
      </c>
      <c r="E28" s="1735"/>
      <c r="F28" s="2064" t="str">
        <f>'C-FCL Real'!K27</f>
        <v>Índice de Retorno do Inv.: TIR</v>
      </c>
      <c r="G28" s="2033" t="s">
        <v>195</v>
      </c>
      <c r="H28" s="2048">
        <f>'C-FCL Real'!H9</f>
        <v>0.84042738813951368</v>
      </c>
      <c r="I28" s="1735"/>
      <c r="J28" s="1735"/>
      <c r="K28" s="2016"/>
      <c r="L28" s="1735"/>
      <c r="M28" s="1735"/>
      <c r="N28" s="1735"/>
      <c r="O28" s="1735"/>
      <c r="P28" s="1735"/>
      <c r="Q28" s="1735"/>
      <c r="R28" s="988"/>
      <c r="S28" s="989"/>
      <c r="T28" s="989"/>
      <c r="U28" s="989"/>
      <c r="V28" s="989"/>
      <c r="W28" s="989"/>
      <c r="X28" s="989"/>
      <c r="Y28" s="989"/>
      <c r="Z28" s="1597"/>
    </row>
    <row r="29" spans="1:26" s="2017" customFormat="1" ht="17.55" customHeight="1" thickBot="1" x14ac:dyDescent="0.35">
      <c r="A29" s="1735"/>
      <c r="B29" s="2064" t="s">
        <v>1111</v>
      </c>
      <c r="C29" s="2033" t="s">
        <v>304</v>
      </c>
      <c r="D29" s="2047">
        <v>0</v>
      </c>
      <c r="E29" s="1735"/>
      <c r="F29" s="2073" t="str">
        <f>'C-FCL Real'!O26</f>
        <v>Taxa de Lucratividade do Investimento</v>
      </c>
      <c r="G29" s="2049" t="s">
        <v>195</v>
      </c>
      <c r="H29" s="2050">
        <f>'C-FCL Real'!H14</f>
        <v>-3.4931960673028208E-2</v>
      </c>
      <c r="I29" s="1735"/>
      <c r="J29" s="1735"/>
      <c r="K29" s="2016"/>
      <c r="L29" s="1735"/>
      <c r="M29" s="1735"/>
      <c r="N29" s="1735"/>
      <c r="O29" s="1735"/>
      <c r="P29" s="1735"/>
      <c r="Q29" s="1735"/>
      <c r="R29" s="988"/>
      <c r="S29" s="989"/>
      <c r="T29" s="989"/>
      <c r="U29" s="989"/>
      <c r="V29" s="989"/>
      <c r="W29" s="989"/>
      <c r="X29" s="989"/>
      <c r="Y29" s="989"/>
      <c r="Z29" s="1597"/>
    </row>
    <row r="30" spans="1:26" s="2017" customFormat="1" ht="17.55" customHeight="1" x14ac:dyDescent="0.3">
      <c r="A30" s="1735"/>
      <c r="B30" s="2069" t="s">
        <v>1112</v>
      </c>
      <c r="C30" s="2051" t="s">
        <v>304</v>
      </c>
      <c r="D30" s="2052">
        <v>0</v>
      </c>
      <c r="E30" s="1735"/>
      <c r="F30" s="2074" t="s">
        <v>955</v>
      </c>
      <c r="G30" s="2061" t="s">
        <v>311</v>
      </c>
      <c r="H30" s="2062">
        <f>D32*(D8*H33+D31*312*H31)/1000000000</f>
        <v>0.76989478710947712</v>
      </c>
      <c r="I30" s="1735"/>
      <c r="J30" s="1735"/>
      <c r="K30" s="2016"/>
      <c r="L30" s="1735"/>
      <c r="M30" s="1735"/>
      <c r="N30" s="1735"/>
      <c r="O30" s="1735"/>
      <c r="P30" s="1735"/>
      <c r="Q30" s="1735"/>
      <c r="R30" s="988"/>
      <c r="S30" s="989"/>
      <c r="T30" s="989"/>
      <c r="U30" s="989"/>
      <c r="V30" s="989"/>
      <c r="W30" s="989"/>
      <c r="X30" s="989"/>
      <c r="Y30" s="989"/>
      <c r="Z30" s="1597"/>
    </row>
    <row r="31" spans="1:26" ht="19.95" customHeight="1" thickBot="1" x14ac:dyDescent="0.35">
      <c r="A31" s="36"/>
      <c r="B31" s="2070" t="s">
        <v>1105</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114.18441708559973</v>
      </c>
      <c r="I31" s="36"/>
      <c r="J31" s="36"/>
      <c r="K31" s="32"/>
      <c r="L31" s="36"/>
      <c r="M31" s="36"/>
      <c r="N31" s="36"/>
      <c r="O31" s="36"/>
      <c r="P31" s="36"/>
      <c r="Q31" s="36"/>
      <c r="R31" s="988"/>
      <c r="S31" s="989"/>
      <c r="T31" s="989"/>
      <c r="U31" s="989"/>
      <c r="V31" s="989"/>
      <c r="W31" s="989"/>
      <c r="X31" s="989"/>
      <c r="Y31" s="989"/>
      <c r="Z31" s="1597"/>
    </row>
    <row r="32" spans="1:26" ht="19.95" customHeight="1" thickTop="1" x14ac:dyDescent="0.3">
      <c r="A32" s="34"/>
      <c r="B32" s="2076" t="s">
        <v>655</v>
      </c>
      <c r="C32" s="2007" t="s">
        <v>309</v>
      </c>
      <c r="D32" s="2098">
        <v>35</v>
      </c>
      <c r="E32" s="1079"/>
      <c r="F32" s="2076" t="s">
        <v>1114</v>
      </c>
      <c r="G32" s="2007" t="s">
        <v>1107</v>
      </c>
      <c r="H32" s="2079">
        <f>'C-Calc Tarifa'!M32</f>
        <v>10.924698057866394</v>
      </c>
      <c r="I32" s="36"/>
      <c r="J32" s="34"/>
      <c r="K32" s="33"/>
      <c r="L32" s="34"/>
      <c r="M32" s="36"/>
      <c r="N32" s="36"/>
      <c r="O32" s="36"/>
      <c r="P32" s="36"/>
      <c r="Q32" s="36"/>
      <c r="R32" s="988"/>
      <c r="S32" s="989"/>
      <c r="T32" s="989"/>
      <c r="U32" s="989"/>
      <c r="V32" s="989"/>
      <c r="W32" s="989"/>
      <c r="X32" s="989"/>
      <c r="Y32" s="989"/>
      <c r="Z32" s="1597"/>
    </row>
    <row r="33" spans="1:26" ht="19.95" customHeight="1" thickBot="1" x14ac:dyDescent="0.35">
      <c r="A33" s="36"/>
      <c r="B33" s="2077" t="s">
        <v>1106</v>
      </c>
      <c r="C33" s="2008" t="s">
        <v>295</v>
      </c>
      <c r="D33" s="2009">
        <v>237.54494967426146</v>
      </c>
      <c r="E33" s="1079"/>
      <c r="F33" s="2078" t="s">
        <v>1108</v>
      </c>
      <c r="G33" s="2055" t="s">
        <v>295</v>
      </c>
      <c r="H33" s="2056">
        <v>254.60848243040007</v>
      </c>
      <c r="I33" s="36"/>
      <c r="J33" s="36"/>
      <c r="K33" s="32"/>
      <c r="L33" s="36"/>
      <c r="M33" s="36"/>
      <c r="N33" s="36"/>
      <c r="O33" s="36"/>
      <c r="P33" s="36"/>
      <c r="Q33" s="36"/>
      <c r="R33" s="988"/>
      <c r="S33" s="989"/>
      <c r="T33" s="989"/>
      <c r="U33" s="989"/>
      <c r="V33" s="989"/>
      <c r="W33" s="989"/>
      <c r="X33" s="989"/>
      <c r="Y33" s="989"/>
      <c r="Z33" s="1597"/>
    </row>
    <row r="34" spans="1:26" ht="25.05" customHeight="1" thickTop="1" thickBot="1" x14ac:dyDescent="0.35">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95" customHeight="1" collapsed="1" thickTop="1" x14ac:dyDescent="0.3">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7" hidden="1" customHeight="1" outlineLevel="1" x14ac:dyDescent="0.3">
      <c r="A36" s="43"/>
      <c r="B36" s="1520" t="s">
        <v>290</v>
      </c>
      <c r="C36" s="271" t="s">
        <v>291</v>
      </c>
      <c r="D36" s="1533">
        <f>'R-Entrada'!E8</f>
        <v>411597</v>
      </c>
      <c r="E36" s="151"/>
      <c r="F36" s="1520" t="s">
        <v>891</v>
      </c>
      <c r="G36" s="271" t="s">
        <v>298</v>
      </c>
      <c r="H36" s="1531">
        <f>SUM(L36:L43)+SUM(P36:P41)</f>
        <v>6744.2087698585237</v>
      </c>
      <c r="I36" s="151"/>
      <c r="J36" s="1520" t="s">
        <v>898</v>
      </c>
      <c r="K36" s="271" t="s">
        <v>298</v>
      </c>
      <c r="L36" s="1531">
        <f>('R-Resumo Bal. Massa'!F58+'R-Resumo Bal. Massa'!G58)*312*D48/D8</f>
        <v>2769.5653569011492</v>
      </c>
      <c r="M36" s="151"/>
      <c r="N36" s="1520" t="s">
        <v>912</v>
      </c>
      <c r="O36" s="271" t="s">
        <v>298</v>
      </c>
      <c r="P36" s="1531">
        <f>'R-Resumo Bal. Massa'!E58*312*D48/D8</f>
        <v>0</v>
      </c>
      <c r="Q36" s="194"/>
      <c r="R36" s="988"/>
      <c r="S36" s="989"/>
      <c r="T36" s="989"/>
      <c r="U36" s="989"/>
      <c r="V36" s="989"/>
      <c r="W36" s="989"/>
      <c r="X36" s="989"/>
      <c r="Y36" s="989"/>
      <c r="Z36" s="1597"/>
    </row>
    <row r="37" spans="1:26" ht="17.7" hidden="1" customHeight="1" outlineLevel="1" x14ac:dyDescent="0.3">
      <c r="A37" s="43"/>
      <c r="B37" s="1520" t="s">
        <v>758</v>
      </c>
      <c r="C37" s="1483" t="s">
        <v>759</v>
      </c>
      <c r="D37" s="1534">
        <f>D38*1000*312/D36/365</f>
        <v>0.51919384771265653</v>
      </c>
      <c r="E37" s="151"/>
      <c r="F37" s="1520" t="s">
        <v>892</v>
      </c>
      <c r="G37" s="1483" t="s">
        <v>298</v>
      </c>
      <c r="H37" s="1531">
        <f>L48</f>
        <v>16626.271663925203</v>
      </c>
      <c r="I37" s="151"/>
      <c r="J37" s="1520" t="s">
        <v>899</v>
      </c>
      <c r="K37" s="1483" t="s">
        <v>298</v>
      </c>
      <c r="L37" s="1531">
        <f>('R-Resumo Bal. Massa'!F59+'R-Resumo Bal. Massa'!G59)*312*D48/D8</f>
        <v>1881.6131050702463</v>
      </c>
      <c r="M37" s="151"/>
      <c r="N37" s="1520" t="s">
        <v>913</v>
      </c>
      <c r="O37" s="1483" t="s">
        <v>298</v>
      </c>
      <c r="P37" s="1531">
        <f>'R-Resumo Bal. Massa'!E59*312*D48/D8</f>
        <v>0</v>
      </c>
      <c r="Q37" s="194"/>
      <c r="R37" s="988"/>
      <c r="S37" s="989"/>
      <c r="T37" s="989"/>
      <c r="U37" s="989"/>
      <c r="V37" s="989"/>
      <c r="W37" s="989"/>
      <c r="X37" s="989"/>
      <c r="Y37" s="989"/>
      <c r="Z37" s="1597"/>
    </row>
    <row r="38" spans="1:26" ht="17.7" hidden="1" customHeight="1" outlineLevel="1" x14ac:dyDescent="0.3">
      <c r="A38" s="43"/>
      <c r="B38" s="1520" t="s">
        <v>294</v>
      </c>
      <c r="C38" s="1483" t="s">
        <v>21</v>
      </c>
      <c r="D38" s="1531">
        <f>'R-Entrada'!E14</f>
        <v>250</v>
      </c>
      <c r="E38" s="151"/>
      <c r="F38" s="1520" t="s">
        <v>893</v>
      </c>
      <c r="G38" s="1483" t="s">
        <v>298</v>
      </c>
      <c r="H38" s="1531">
        <f>L49</f>
        <v>0</v>
      </c>
      <c r="I38" s="151"/>
      <c r="J38" s="1520" t="s">
        <v>900</v>
      </c>
      <c r="K38" s="1483" t="s">
        <v>298</v>
      </c>
      <c r="L38" s="1531">
        <f>('R-Resumo Bal. Massa'!F60+'R-Resumo Bal. Massa'!G60)*312*D48/D8</f>
        <v>972.51913295765542</v>
      </c>
      <c r="M38" s="151"/>
      <c r="N38" s="1520" t="s">
        <v>914</v>
      </c>
      <c r="O38" s="1483" t="s">
        <v>298</v>
      </c>
      <c r="P38" s="1531">
        <f>'R-Resumo Bal. Massa'!E60*312*D48/D8</f>
        <v>0</v>
      </c>
      <c r="Q38" s="194"/>
      <c r="R38" s="988"/>
      <c r="S38" s="989"/>
      <c r="T38" s="989"/>
      <c r="U38" s="989"/>
      <c r="V38" s="989"/>
      <c r="W38" s="989"/>
      <c r="X38" s="989"/>
      <c r="Y38" s="989"/>
      <c r="Z38" s="1597"/>
    </row>
    <row r="39" spans="1:26" ht="17.7" hidden="1" customHeight="1" outlineLevel="1" x14ac:dyDescent="0.3">
      <c r="A39" s="43"/>
      <c r="B39" s="1520" t="s">
        <v>312</v>
      </c>
      <c r="C39" s="1483" t="s">
        <v>313</v>
      </c>
      <c r="D39" s="1531">
        <f>D40/12</f>
        <v>6500</v>
      </c>
      <c r="E39" s="151"/>
      <c r="F39" s="1520" t="s">
        <v>894</v>
      </c>
      <c r="G39" s="1483" t="s">
        <v>298</v>
      </c>
      <c r="H39" s="1531">
        <f>L44+L45</f>
        <v>15183.983506308439</v>
      </c>
      <c r="I39" s="151"/>
      <c r="J39" s="1520" t="s">
        <v>901</v>
      </c>
      <c r="K39" s="1483" t="s">
        <v>298</v>
      </c>
      <c r="L39" s="1531">
        <f>('R-Resumo Bal. Massa'!F61+'R-Resumo Bal. Massa'!G61)*312*D48/D8</f>
        <v>507.40128676051592</v>
      </c>
      <c r="M39" s="151"/>
      <c r="N39" s="1520" t="s">
        <v>915</v>
      </c>
      <c r="O39" s="1483" t="s">
        <v>298</v>
      </c>
      <c r="P39" s="1531">
        <f>'R-Resumo Bal. Massa'!E61*312*D48/D8</f>
        <v>0</v>
      </c>
      <c r="Q39" s="194"/>
      <c r="R39" s="988"/>
      <c r="S39" s="989"/>
      <c r="T39" s="989"/>
      <c r="U39" s="989"/>
      <c r="V39" s="989"/>
      <c r="W39" s="989"/>
      <c r="X39" s="989"/>
      <c r="Y39" s="989"/>
      <c r="Z39" s="1597"/>
    </row>
    <row r="40" spans="1:26" ht="17.7" hidden="1" customHeight="1" outlineLevel="1" x14ac:dyDescent="0.3">
      <c r="A40" s="43"/>
      <c r="B40" s="1520" t="s">
        <v>297</v>
      </c>
      <c r="C40" s="1483" t="s">
        <v>298</v>
      </c>
      <c r="D40" s="1531">
        <f>D38*312</f>
        <v>78000</v>
      </c>
      <c r="E40" s="151"/>
      <c r="F40" s="1520" t="s">
        <v>895</v>
      </c>
      <c r="G40" s="1483" t="s">
        <v>298</v>
      </c>
      <c r="H40" s="1531">
        <f>L46+L47</f>
        <v>0</v>
      </c>
      <c r="I40" s="151"/>
      <c r="J40" s="1520" t="s">
        <v>902</v>
      </c>
      <c r="K40" s="1483" t="s">
        <v>298</v>
      </c>
      <c r="L40" s="1531">
        <f>('R-Resumo Bal. Massa'!F63+'R-Resumo Bal. Massa'!G63)*312*D48/D8</f>
        <v>126.85032169012898</v>
      </c>
      <c r="M40" s="151"/>
      <c r="N40" s="1520" t="s">
        <v>916</v>
      </c>
      <c r="O40" s="1483" t="s">
        <v>298</v>
      </c>
      <c r="P40" s="1531">
        <f>'R-Resumo Bal. Massa'!E63*312*D48/D8</f>
        <v>0</v>
      </c>
      <c r="Q40" s="194"/>
      <c r="R40" s="988"/>
      <c r="S40" s="989"/>
      <c r="T40" s="989"/>
      <c r="U40" s="989"/>
      <c r="V40" s="989"/>
      <c r="W40" s="989"/>
      <c r="X40" s="989"/>
      <c r="Y40" s="989"/>
      <c r="Z40" s="1597"/>
    </row>
    <row r="41" spans="1:26" ht="17.7" hidden="1" customHeight="1" outlineLevel="1" x14ac:dyDescent="0.3">
      <c r="A41" s="43"/>
      <c r="B41" s="1520" t="s">
        <v>578</v>
      </c>
      <c r="C41" s="1483" t="s">
        <v>298</v>
      </c>
      <c r="D41" s="1533" t="str">
        <f>IF('R-Resumo Bal. Massa'!D13&gt;0,'R-Resumo Bal. Massa'!D13*312,"0")</f>
        <v>0</v>
      </c>
      <c r="E41" s="151"/>
      <c r="F41" s="1520" t="s">
        <v>896</v>
      </c>
      <c r="G41" s="1483" t="s">
        <v>306</v>
      </c>
      <c r="H41" s="1531">
        <f>P42+P43+P44</f>
        <v>0</v>
      </c>
      <c r="I41" s="151"/>
      <c r="J41" s="1520" t="s">
        <v>903</v>
      </c>
      <c r="K41" s="1483" t="s">
        <v>298</v>
      </c>
      <c r="L41" s="1531">
        <f>('R-Resumo Bal. Massa'!F62+'R-Resumo Bal. Massa'!G62)*312*D48/D8</f>
        <v>486.25956647882771</v>
      </c>
      <c r="M41" s="151"/>
      <c r="N41" s="1520" t="s">
        <v>917</v>
      </c>
      <c r="O41" s="1483" t="s">
        <v>298</v>
      </c>
      <c r="P41" s="1531">
        <f>'R-Resumo Bal. Massa'!E62*312*D48/D8</f>
        <v>0</v>
      </c>
      <c r="Q41" s="194"/>
      <c r="R41" s="988"/>
      <c r="S41" s="989"/>
      <c r="T41" s="989"/>
      <c r="U41" s="989"/>
      <c r="V41" s="989"/>
      <c r="W41" s="989"/>
      <c r="X41" s="989"/>
      <c r="Y41" s="989"/>
      <c r="Z41" s="1597"/>
    </row>
    <row r="42" spans="1:26" ht="17.7" hidden="1" customHeight="1" outlineLevel="1" x14ac:dyDescent="0.3">
      <c r="A42" s="43"/>
      <c r="B42" s="1520" t="s">
        <v>579</v>
      </c>
      <c r="C42" s="1483" t="s">
        <v>298</v>
      </c>
      <c r="D42" s="1531" t="str">
        <f>IF('R-Resumo Bal. Massa'!D14&gt;0,'R-Resumo Bal. Massa'!D14*312,"0")</f>
        <v>0</v>
      </c>
      <c r="E42" s="151"/>
      <c r="F42" s="1520" t="s">
        <v>897</v>
      </c>
      <c r="G42" s="1482" t="s">
        <v>307</v>
      </c>
      <c r="H42" s="1531">
        <f>P45+P46</f>
        <v>0</v>
      </c>
      <c r="I42" s="151"/>
      <c r="J42" s="1520" t="s">
        <v>904</v>
      </c>
      <c r="K42" s="1483" t="s">
        <v>298</v>
      </c>
      <c r="L42" s="1531">
        <f>('R-Resumo Bal. Massa'!J63)*312*D48/D8</f>
        <v>0</v>
      </c>
      <c r="M42" s="151"/>
      <c r="N42" s="1520" t="s">
        <v>922</v>
      </c>
      <c r="O42" s="1483" t="s">
        <v>306</v>
      </c>
      <c r="P42" s="1572">
        <f>IF('R-Definição'!J59&gt;0,'R-Resumo Bal. Massa'!I74*312/1000,0)*D48/D8</f>
        <v>0</v>
      </c>
      <c r="Q42" s="194"/>
      <c r="R42" s="988"/>
      <c r="S42" s="989"/>
      <c r="T42" s="989"/>
      <c r="U42" s="989"/>
      <c r="V42" s="989"/>
      <c r="W42" s="989"/>
      <c r="X42" s="989"/>
      <c r="Y42" s="989"/>
      <c r="Z42" s="1597"/>
    </row>
    <row r="43" spans="1:26" ht="17.7" hidden="1" customHeight="1" outlineLevel="1" x14ac:dyDescent="0.3">
      <c r="A43" s="43"/>
      <c r="B43" s="1520" t="s">
        <v>580</v>
      </c>
      <c r="C43" s="1483" t="s">
        <v>298</v>
      </c>
      <c r="D43" s="1531">
        <f>IF('R-Resumo Bal. Massa'!D15&gt;0,('R-Resumo Bal. Massa'!D15)*312,"0")</f>
        <v>78000</v>
      </c>
      <c r="E43" s="151"/>
      <c r="F43" s="1520"/>
      <c r="G43" s="271"/>
      <c r="H43" s="1531"/>
      <c r="I43" s="151"/>
      <c r="J43" s="1520" t="s">
        <v>905</v>
      </c>
      <c r="K43" s="1483" t="s">
        <v>298</v>
      </c>
      <c r="L43" s="1531">
        <f>('R-Resumo Bal. Massa'!J62)*312*D48/D8</f>
        <v>0</v>
      </c>
      <c r="M43" s="151"/>
      <c r="N43" s="1520" t="s">
        <v>921</v>
      </c>
      <c r="O43" s="1483" t="s">
        <v>306</v>
      </c>
      <c r="P43" s="1531">
        <f>'R-Resumo Bal. Massa'!J74*312/1000*D48/D8</f>
        <v>0</v>
      </c>
      <c r="Q43" s="194"/>
      <c r="R43" s="988"/>
      <c r="S43" s="989"/>
      <c r="T43" s="989"/>
      <c r="U43" s="989"/>
      <c r="V43" s="989"/>
      <c r="W43" s="989"/>
      <c r="X43" s="989"/>
      <c r="Y43" s="989"/>
      <c r="Z43" s="1597"/>
    </row>
    <row r="44" spans="1:26" ht="17.7" hidden="1" customHeight="1" outlineLevel="1" x14ac:dyDescent="0.3">
      <c r="A44" s="43"/>
      <c r="B44" s="1520" t="s">
        <v>558</v>
      </c>
      <c r="C44" s="1483" t="s">
        <v>298</v>
      </c>
      <c r="D44" s="1531">
        <f>'R-Resumo Bal. Massa'!D53*312+IF(OR(D108&lt;0,D109&lt;0),D18,0)+(IF(OR(D111&lt;0,D112&lt;0),D19,0))</f>
        <v>31478.850000000002</v>
      </c>
      <c r="E44" s="151"/>
      <c r="F44" s="1520"/>
      <c r="G44" s="1483"/>
      <c r="H44" s="1531"/>
      <c r="I44" s="151"/>
      <c r="J44" s="1520" t="s">
        <v>906</v>
      </c>
      <c r="K44" s="271" t="s">
        <v>298</v>
      </c>
      <c r="L44" s="1531">
        <f>IF('R-Definição'!I51&gt;0,('R-Definição'!I49-'R-Definição'!O53-'R-Definição'!O55)*'R-Definição'!L50/100*312,0)*D48/D8</f>
        <v>15183.983506308439</v>
      </c>
      <c r="M44" s="151"/>
      <c r="N44" s="1520" t="s">
        <v>920</v>
      </c>
      <c r="O44" s="1483" t="s">
        <v>306</v>
      </c>
      <c r="P44" s="1531">
        <f>'R-Resumo Bal. Massa'!K74*312/1000*D48/D8</f>
        <v>0</v>
      </c>
      <c r="Q44" s="194"/>
      <c r="R44" s="988"/>
      <c r="S44" s="989"/>
      <c r="T44" s="989"/>
      <c r="U44" s="989"/>
      <c r="V44" s="989"/>
      <c r="W44" s="989"/>
      <c r="X44" s="989"/>
      <c r="Y44" s="989"/>
      <c r="Z44" s="1597"/>
    </row>
    <row r="45" spans="1:26" ht="17.7" hidden="1" customHeight="1" outlineLevel="1" x14ac:dyDescent="0.3">
      <c r="A45" s="43"/>
      <c r="B45" s="1520" t="s">
        <v>716</v>
      </c>
      <c r="C45" s="1483" t="s">
        <v>195</v>
      </c>
      <c r="D45" s="1535">
        <f>(D40-D44)/D40</f>
        <v>0.59642499999999987</v>
      </c>
      <c r="E45" s="268"/>
      <c r="F45" s="1520"/>
      <c r="G45" s="1483"/>
      <c r="H45" s="1531"/>
      <c r="I45" s="268"/>
      <c r="J45" s="1520" t="s">
        <v>907</v>
      </c>
      <c r="K45" s="1483" t="s">
        <v>298</v>
      </c>
      <c r="L45" s="1531">
        <f>IF('R-Definição'!I52&gt;0,('R-Definição'!I49-'R-Definição'!O53-'R-Definição'!O55)*'R-Definição'!L50/100*312,0)*D48/D8</f>
        <v>0</v>
      </c>
      <c r="M45" s="268"/>
      <c r="N45" s="1520" t="s">
        <v>919</v>
      </c>
      <c r="O45" s="1482" t="s">
        <v>307</v>
      </c>
      <c r="P45" s="1531">
        <f>IF('R-Definição'!J59&gt;0,'R-Resumo Bal. Massa'!I75*312,0)*D48/D8</f>
        <v>0</v>
      </c>
      <c r="Q45" s="194"/>
      <c r="R45" s="988"/>
      <c r="S45" s="989"/>
      <c r="T45" s="989"/>
      <c r="U45" s="989"/>
      <c r="V45" s="989"/>
      <c r="W45" s="989"/>
      <c r="X45" s="989"/>
      <c r="Y45" s="989"/>
      <c r="Z45" s="1597"/>
    </row>
    <row r="46" spans="1:26" ht="17.7" hidden="1" customHeight="1" outlineLevel="1" x14ac:dyDescent="0.3">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7" hidden="1" customHeight="1" outlineLevel="1" x14ac:dyDescent="0.3">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7" hidden="1" customHeight="1" outlineLevel="1" x14ac:dyDescent="0.3">
      <c r="A48" s="43"/>
      <c r="B48" s="1520" t="s">
        <v>1121</v>
      </c>
      <c r="C48" s="1483" t="s">
        <v>298</v>
      </c>
      <c r="D48" s="1782">
        <f>SUMIF('C-FCL Real'!$C$33:'C-FCL Real'!$BG$33,1,'C-FCL Real'!C35:'C-FCL Real'!BG35)/D32</f>
        <v>84566.881126752647</v>
      </c>
      <c r="E48" s="268"/>
      <c r="F48" s="1520"/>
      <c r="G48" s="1483"/>
      <c r="H48" s="1531"/>
      <c r="I48" s="268"/>
      <c r="J48" s="1520" t="s">
        <v>910</v>
      </c>
      <c r="K48" s="1483" t="s">
        <v>298</v>
      </c>
      <c r="L48" s="1531">
        <f>'R-Resumo Bal. Massa'!I66*312*D48/D8</f>
        <v>16626.271663925203</v>
      </c>
      <c r="M48" s="268"/>
      <c r="N48" s="1520"/>
      <c r="O48" s="1483"/>
      <c r="P48" s="1531"/>
      <c r="Q48" s="194"/>
      <c r="R48" s="988"/>
      <c r="S48" s="989"/>
      <c r="T48" s="989"/>
      <c r="U48" s="989"/>
      <c r="V48" s="989"/>
      <c r="W48" s="989"/>
      <c r="X48" s="989"/>
      <c r="Y48" s="989"/>
      <c r="Z48" s="1597"/>
    </row>
    <row r="49" spans="1:26" ht="17.7" hidden="1" customHeight="1" outlineLevel="1" thickBot="1" x14ac:dyDescent="0.35">
      <c r="A49" s="34"/>
      <c r="B49" s="1522"/>
      <c r="C49" s="1536"/>
      <c r="D49" s="1532"/>
      <c r="E49" s="151"/>
      <c r="F49" s="1522"/>
      <c r="G49" s="1536"/>
      <c r="H49" s="1532"/>
      <c r="I49" s="151"/>
      <c r="J49" s="1522" t="s">
        <v>911</v>
      </c>
      <c r="K49" s="1536" t="s">
        <v>298</v>
      </c>
      <c r="L49" s="1532">
        <f>'R-Resumo Bal. Massa'!I67*312*D48/D8</f>
        <v>0</v>
      </c>
      <c r="M49" s="151"/>
      <c r="N49" s="1522"/>
      <c r="O49" s="1536"/>
      <c r="P49" s="1532"/>
      <c r="Q49" s="194"/>
      <c r="R49" s="988"/>
      <c r="S49" s="989"/>
      <c r="T49" s="989"/>
      <c r="U49" s="989"/>
      <c r="V49" s="989"/>
      <c r="W49" s="989"/>
      <c r="X49" s="989"/>
      <c r="Y49" s="989"/>
      <c r="Z49" s="1597"/>
    </row>
    <row r="50" spans="1:26" ht="10.199999999999999" customHeight="1" thickBot="1" x14ac:dyDescent="0.35">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5" customHeight="1" thickTop="1" x14ac:dyDescent="0.3">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7" customHeight="1" outlineLevel="1" x14ac:dyDescent="0.3">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7" customHeight="1" outlineLevel="1" x14ac:dyDescent="0.3">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7" customHeight="1" outlineLevel="1" x14ac:dyDescent="0.3">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7" customHeight="1" outlineLevel="1" x14ac:dyDescent="0.3">
      <c r="A55" s="44"/>
      <c r="B55" s="1520" t="s">
        <v>583</v>
      </c>
      <c r="C55" s="1483" t="s">
        <v>760</v>
      </c>
      <c r="D55" s="1565">
        <v>0</v>
      </c>
      <c r="E55" s="194"/>
      <c r="F55" s="1097" t="s">
        <v>326</v>
      </c>
      <c r="G55" s="1097" t="str">
        <f>'C-Triagem Mec'!L2</f>
        <v>Sim</v>
      </c>
      <c r="H55" s="1097">
        <f>IF('C-Triagem Mec'!D2&gt;0,'C-Triagem Mec'!H2,0)</f>
        <v>78250</v>
      </c>
      <c r="I55" s="679"/>
      <c r="J55" s="1097" t="s">
        <v>326</v>
      </c>
      <c r="K55" s="1624">
        <f>IF('C-Triagem Mec'!$E$7="SIM",'C-Triagem Mec'!$E$19,IF('C-Triagem Mec'!$I$7="SIM",'C-Triagem Mec'!$I$19,IF('C-Triagem Mec'!$M$7="SIM",'C-Triagem Mec'!$M$19,IF('C-Triagem Mec'!$Q$7="SIM",'C-Triagem Mec'!$Q$19,IF('C-Triagem Mec'!$U$7="SIM",'C-Triagem Mec'!$U$19,0)))))</f>
        <v>56.183509461433225</v>
      </c>
      <c r="L55" s="1097">
        <f>IF('C-Triagem Mec'!$E$7="SIM",'C-Triagem Mec'!$E$20,IF('C-Triagem Mec'!$I$7="SIM",'C-Triagem Mec'!$I$20,IF('C-Triagem Mec'!$M$7="SIM",'C-Triagem Mec'!$M$20,IF('C-Triagem Mec'!$Q$7="SIM",'C-Triagem Mec'!$Q$20,IF('C-Triagem Mec'!$U$7="SIM",'C-Triagem Mec'!$U$20,0)))))</f>
        <v>718.00012091288465</v>
      </c>
      <c r="M55" s="194"/>
      <c r="N55" s="1097" t="s">
        <v>326</v>
      </c>
      <c r="O55" s="1624">
        <f>IF('C-Triagem Mec'!$E$7="SIM",'C-Triagem Mec'!$E$43,IF('C-Triagem Mec'!$I$7="SIM",'C-Triagem Mec'!$I$43,IF('C-Triagem Mec'!$M$7="SIM",'C-Triagem Mec'!$M$43,IF('C-Triagem Mec'!$Q$7="SIM",'C-Triagem Mec'!$Q$43,IF('C-Triagem Mec'!$U$7="SIM",'C-Triagem Mec'!$U$43,0)))))</f>
        <v>9.2794661460600008</v>
      </c>
      <c r="P55" s="1097">
        <f>IF('C-Triagem Mec'!$E$7="SIM",'C-Triagem Mec'!$E$42,IF('C-Triagem Mec'!$I$7="SIM",'C-Triagem Mec'!$I$42,IF('C-Triagem Mec'!$M$7="SIM",'C-Triagem Mec'!$M$42,IF('C-Triagem Mec'!$Q$7="SIM",'C-Triagem Mec'!$Q$42,IF('C-Triagem Mec'!$U$7="SIM",'C-Triagem Mec'!$U$42,0)))))</f>
        <v>118.58742678670927</v>
      </c>
      <c r="Q55" s="194"/>
      <c r="R55" s="988"/>
      <c r="S55" s="989"/>
      <c r="T55" s="989"/>
      <c r="U55" s="989"/>
      <c r="V55" s="989"/>
      <c r="W55" s="989"/>
      <c r="X55" s="989"/>
      <c r="Y55" s="989"/>
      <c r="Z55" s="1597"/>
    </row>
    <row r="56" spans="1:26" ht="17.7" customHeight="1" outlineLevel="1" x14ac:dyDescent="0.3">
      <c r="A56" s="43"/>
      <c r="B56" s="1520" t="s">
        <v>584</v>
      </c>
      <c r="C56" s="1483" t="s">
        <v>760</v>
      </c>
      <c r="D56" s="1565">
        <v>25</v>
      </c>
      <c r="E56" s="194"/>
      <c r="F56" s="1465" t="s">
        <v>590</v>
      </c>
      <c r="G56" s="273">
        <v>0.25</v>
      </c>
      <c r="H56" s="1557">
        <v>0</v>
      </c>
      <c r="I56" s="679"/>
      <c r="J56" s="1520"/>
      <c r="K56" s="226" t="s">
        <v>322</v>
      </c>
      <c r="L56" s="1548">
        <f>IF(K55&gt;0,K55*1000000/$D$40,0)</f>
        <v>720.30140335170802</v>
      </c>
      <c r="M56" s="194"/>
      <c r="N56" s="1520" t="s">
        <v>323</v>
      </c>
      <c r="O56" s="278">
        <f>IF(AND(H55&gt;0,D98="Não"),((L36*D101)+(L37*D102)+(L38*D103)+(L39*D104)+(L40*D106)+(L41*D105))/$D$40,((L36*D101)+(L37*D102)+(L38*D103)+(L39*D104)+(L40*D106)+(L41*D105))/$D$40*(1-D99))</f>
        <v>0</v>
      </c>
      <c r="P56" s="1506">
        <f>IF(O55&gt;0,O55*1000000/$D$40,0)</f>
        <v>118.96751469307694</v>
      </c>
      <c r="Q56" s="194"/>
      <c r="R56" s="988"/>
      <c r="S56" s="989"/>
      <c r="T56" s="989"/>
      <c r="U56" s="989"/>
      <c r="V56" s="989"/>
      <c r="W56" s="989"/>
      <c r="X56" s="989"/>
      <c r="Y56" s="989"/>
      <c r="Z56" s="1597"/>
    </row>
    <row r="57" spans="1:26" ht="17.7" customHeight="1" outlineLevel="1" x14ac:dyDescent="0.3">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12134.725575051662</v>
      </c>
      <c r="H57" s="1559"/>
      <c r="I57" s="679"/>
      <c r="J57" s="1549" t="s">
        <v>324</v>
      </c>
      <c r="K57" s="271">
        <f>IF('C-Triagem Mec'!$E$7="SIM",'C-Triagem Mec'!$E$23,IF('C-Triagem Mec'!$I$7="SIM",'C-Triagem Mec'!$I$23,IF('C-Triagem Mec'!$M$7="SIM",'C-Triagem Mec'!$M$23,IF('C-Triagem Mec'!$Q$7="SIM",'C-Triagem Mec'!$Q$23,IF('C-Triagem Mec'!$U$7="SIM",'C-Triagem Mec'!$U$23,"0")))))</f>
        <v>1.1006181818440726</v>
      </c>
      <c r="L57" s="1550"/>
      <c r="M57" s="194"/>
      <c r="N57" s="1520" t="s">
        <v>325</v>
      </c>
      <c r="O57" s="278">
        <f>IF('C-Triagem Mec'!$E$7="SIM",'C-Triagem Mec'!$E$44,IF('C-Triagem Mec'!$I$7="SIM",'C-Triagem Mec'!$I$44,IF('C-Triagem Mec'!$M$7="SIM",'C-Triagem Mec'!$M$44,IF('C-Triagem Mec'!$Q$7="SIM",'C-Triagem Mec'!$Q$44,IF('C-Triagem Mec'!$U$7="SIM",'C-Triagem Mec'!$U$44,0)))))</f>
        <v>2.7311999999999999</v>
      </c>
      <c r="P57" s="1525">
        <f>IF('C-Triagem Mec'!$E$7="SIM",'C-Triagem Mec'!$E$45,IF('C-Triagem Mec'!$I$7="SIM",'C-Triagem Mec'!$I$45,IF('C-Triagem Mec'!$M$7="SIM",'C-Triagem Mec'!$M$45,IF('C-Triagem Mec'!$Q$7="SIM",'C-Triagem Mec'!$Q$45,IF('C-Triagem Mec'!$U$7="SIM",'C-Triagem Mec'!$U$45,0)))))</f>
        <v>83.683912409712477</v>
      </c>
      <c r="Q57" s="194"/>
      <c r="R57" s="988"/>
      <c r="S57" s="989"/>
      <c r="T57" s="989"/>
      <c r="U57" s="989"/>
      <c r="V57" s="989"/>
      <c r="W57" s="989"/>
      <c r="X57" s="989"/>
      <c r="Y57" s="989"/>
      <c r="Z57" s="1597"/>
    </row>
    <row r="58" spans="1:26" ht="17.7" customHeight="1" outlineLevel="1" x14ac:dyDescent="0.3">
      <c r="A58" s="43"/>
      <c r="B58" s="1520" t="s">
        <v>1115</v>
      </c>
      <c r="C58" s="1999" t="s">
        <v>195</v>
      </c>
      <c r="D58" s="1530">
        <v>0.65</v>
      </c>
      <c r="E58" s="194"/>
      <c r="F58" s="1097" t="s">
        <v>592</v>
      </c>
      <c r="G58" s="1097" t="str">
        <f>'C-Produção CDR-TM'!L2</f>
        <v>Sim</v>
      </c>
      <c r="H58" s="1097">
        <f>IF('C-Produção CDR-TM'!D2&gt;0,'C-Produção CDR-TM'!H2,0)</f>
        <v>29578.5</v>
      </c>
      <c r="I58" s="679"/>
      <c r="J58" s="1097" t="s">
        <v>592</v>
      </c>
      <c r="K58" s="1624">
        <f>IF('C-Produção CDR-TM'!$E$7="SIM",'C-Produção CDR-TM'!$E$19,IF('C-Produção CDR-TM'!$I$7="SIM",'C-Produção CDR-TM'!$I$19,IF('C-Produção CDR-TM'!$M$7="SIM",'C-Produção CDR-TM'!$M$19,IF('C-Produção CDR-TM'!$Q$7="SIM",'C-Produção CDR-TM'!$Q$19,IF('C-Produção CDR-TM'!$U$7="SIM",'C-Produção CDR-TM'!$U$19,0)))))</f>
        <v>11.907497729296832</v>
      </c>
      <c r="L58" s="1097">
        <f>IF('C-Produção CDR-TM'!$E$7="SIM",'C-Produção CDR-TM'!$E$20,IF('C-Produção CDR-TM'!$I$7="SIM",'C-Produção CDR-TM'!$I$20,IF('C-Produção CDR-TM'!$M$7="SIM",'C-Produção CDR-TM'!$M$20,IF('C-Produção CDR-TM'!$Q$7="SIM",'C-Produção CDR-TM'!$Q$20,IF('C-Produção CDR-TM'!$U$7="SIM",'C-Produção CDR-TM'!$U$20,0)))))</f>
        <v>402.57273794468387</v>
      </c>
      <c r="M58" s="194"/>
      <c r="N58" s="1097" t="s">
        <v>592</v>
      </c>
      <c r="O58" s="1624">
        <f>IF('C-Produção CDR-TM'!$E$7="SIM",'C-Produção CDR-TM'!$E$43,IF('C-Produção CDR-TM'!$I$7="SIM",'C-Produção CDR-TM'!$I$43,IF('C-Produção CDR-TM'!$M$7="SIM",'C-Produção CDR-TM'!$M$43,IF('C-Produção CDR-TM'!$Q$7="SIM",'C-Produção CDR-TM'!$Q$43,IF('C-Produção CDR-TM'!$U$7="SIM",'C-Produção CDR-TM'!$U$43,0)))))</f>
        <v>1.7339704734483865</v>
      </c>
      <c r="P58" s="1097">
        <f>IF('C-Produção CDR-TM'!$E$7="SIM",'C-Produção CDR-TM'!$E$42,IF('C-Produção CDR-TM'!$I$7="SIM",'C-Produção CDR-TM'!$I$42,IF('C-Produção CDR-TM'!$M$7="SIM",'C-Produção CDR-TM'!$M$42,IF('C-Produção CDR-TM'!$Q$7="SIM",'C-Produção CDR-TM'!$Q$42,IF('C-Produção CDR-TM'!$U$7="SIM",'C-Produção CDR-TM'!$U$42,0)))))</f>
        <v>58.622664213817011</v>
      </c>
      <c r="Q58" s="194"/>
      <c r="R58" s="988"/>
      <c r="S58" s="989"/>
      <c r="T58" s="989"/>
      <c r="U58" s="989"/>
      <c r="V58" s="989"/>
      <c r="W58" s="989"/>
      <c r="X58" s="989"/>
      <c r="Y58" s="989"/>
      <c r="Z58" s="1597"/>
    </row>
    <row r="59" spans="1:26" ht="17.7" customHeight="1" outlineLevel="1" x14ac:dyDescent="0.3">
      <c r="A59" s="44"/>
      <c r="B59" s="1520" t="s">
        <v>586</v>
      </c>
      <c r="C59" s="1482" t="s">
        <v>327</v>
      </c>
      <c r="D59" s="1565">
        <v>5000</v>
      </c>
      <c r="E59" s="194"/>
      <c r="F59" s="1465" t="s">
        <v>590</v>
      </c>
      <c r="G59" s="273">
        <v>0.25</v>
      </c>
      <c r="H59" s="1557">
        <v>0</v>
      </c>
      <c r="I59" s="679"/>
      <c r="J59" s="1520"/>
      <c r="K59" s="226" t="s">
        <v>322</v>
      </c>
      <c r="L59" s="1548">
        <f>IF(K58&gt;0,K58*1000000/$D$40,0)</f>
        <v>152.66022729867731</v>
      </c>
      <c r="M59" s="194"/>
      <c r="N59" s="1520" t="s">
        <v>323</v>
      </c>
      <c r="O59" s="278">
        <f>IF(H58&gt;0,((L44*D112)+(L46*D111))/$D$40,0)</f>
        <v>19.466645520908255</v>
      </c>
      <c r="P59" s="1504">
        <f>IF(O58&gt;0,O58*1000000/$D$40,0)</f>
        <v>22.230390685235722</v>
      </c>
      <c r="Q59" s="194"/>
      <c r="R59" s="988"/>
      <c r="S59" s="989"/>
      <c r="T59" s="989"/>
      <c r="U59" s="989"/>
      <c r="V59" s="989"/>
      <c r="W59" s="989"/>
      <c r="X59" s="989"/>
      <c r="Y59" s="989"/>
      <c r="Z59" s="1597"/>
    </row>
    <row r="60" spans="1:26" ht="17.7" customHeight="1" outlineLevel="1" x14ac:dyDescent="0.3">
      <c r="A60" s="43"/>
      <c r="B60" s="1520" t="s">
        <v>587</v>
      </c>
      <c r="C60" s="1483" t="s">
        <v>760</v>
      </c>
      <c r="D60" s="1565">
        <v>1500</v>
      </c>
      <c r="E60" s="194"/>
      <c r="F60" s="1520" t="s">
        <v>591</v>
      </c>
      <c r="G60" s="264">
        <f>IF('C-Produção CDR-TM'!$E$7="SIM",'C-Produção CDR-TM'!$D$17,IF('C-Produção CDR-TM'!$I$7="SIM",'C-Produção CDR-TM'!$H$17,IF('C-Produção CDR-TM'!$M$7="SIM",'C-Produção CDR-TM'!$L$17,IF('C-Produção CDR-TM'!$Q$7="SIM",'C-Produção CDR-TM'!$P$17,IF('C-Produção CDR-TM'!$U$7="SIM",'C-Produção CDR-TM'!$T$17,"0")))))</f>
        <v>825</v>
      </c>
      <c r="H60" s="1558"/>
      <c r="I60" s="679"/>
      <c r="J60" s="1549" t="s">
        <v>324</v>
      </c>
      <c r="K60" s="271">
        <f>IF('C-Produção CDR-TM'!$E$7="SIM",'C-Produção CDR-TM'!$E$23,IF('C-Produção CDR-TM'!$I$7="SIM",'C-Produção CDR-TM'!$I$23,IF('C-Produção CDR-TM'!$M$7="SIM",'C-Produção CDR-TM'!$M$23,IF('C-Produção CDR-TM'!$Q$7="SIM",'C-Produção CDR-TM'!$Q$23,IF('C-Produção CDR-TM'!$U$7="SIM",'C-Produção CDR-TM'!$U$23,"0")))))</f>
        <v>0.26112314702199374</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0.4032</v>
      </c>
      <c r="P60" s="1525">
        <f>IF('C-Produção CDR-TM'!$E$7="SIM",'C-Produção CDR-TM'!$E$45,IF('C-Produção CDR-TM'!$I$7="SIM",'C-Produção CDR-TM'!$I$45,IF('C-Produção CDR-TM'!$M$7="SIM",'C-Produção CDR-TM'!$M$45,IF('C-Produção CDR-TM'!$Q$7="SIM",'C-Produção CDR-TM'!$Q$45,IF('C-Produção CDR-TM'!$U$7="SIM",'C-Produção CDR-TM'!$U$45,0)))))</f>
        <v>44.991141317118391</v>
      </c>
      <c r="Q60" s="194"/>
      <c r="R60" s="988"/>
      <c r="S60" s="989"/>
      <c r="T60" s="989"/>
      <c r="U60" s="989"/>
      <c r="V60" s="989"/>
      <c r="W60" s="989"/>
      <c r="X60" s="989"/>
      <c r="Y60" s="989"/>
      <c r="Z60" s="1597"/>
    </row>
    <row r="61" spans="1:26" ht="17.7" customHeight="1" outlineLevel="1" x14ac:dyDescent="0.3">
      <c r="A61" s="43"/>
      <c r="B61" s="1520" t="s">
        <v>588</v>
      </c>
      <c r="C61" s="1482" t="s">
        <v>195</v>
      </c>
      <c r="D61" s="1530">
        <v>0</v>
      </c>
      <c r="E61" s="194"/>
      <c r="F61" s="1097" t="s">
        <v>483</v>
      </c>
      <c r="G61" s="1097" t="str">
        <f>'C-Produção CDR-TMB'!L2</f>
        <v>Não</v>
      </c>
      <c r="H61" s="1097">
        <f>IF('C-Produção CDR-TMB'!D2&gt;0,'C-Produção CDR-TMB'!H2,0)</f>
        <v>0</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0</v>
      </c>
      <c r="L61" s="1624">
        <f>IF('C-Produção CDR-TMB'!$E$7="SIM",'C-Produção CDR-TMB'!$E$20,IF('C-Produção CDR-TMB'!$I$7="SIM",'C-Produção CDR-TMB'!$I$20,IF('C-Produção CDR-TMB'!$M$7="SIM",'C-Produção CDR-TMB'!$M$20,IF('C-Produção CDR-TMB'!$Q$7="SIM",'C-Produção CDR-TMB'!$Q$20,IF('C-Produção CDR-TMB'!$U$7="SIM",'C-Produção CDR-TMB'!$U$20,0)))))</f>
        <v>0</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0</v>
      </c>
      <c r="P61" s="1624">
        <f>IF('C-Produção CDR-TMB'!$E$7="SIM",'C-Produção CDR-TMB'!$E$42,IF('C-Produção CDR-TMB'!$I$7="SIM",'C-Produção CDR-TMB'!$I$42,IF('C-Produção CDR-TMB'!$M$7="SIM",'C-Produção CDR-TMB'!$M$42,IF('C-Produção CDR-TMB'!$Q$7="SIM",'C-Produção CDR-TMB'!$Q$42,IF('C-Produção CDR-TMB'!$U$7="SIM",'C-Produção CDR-TMB'!$U$42,0)))))</f>
        <v>0</v>
      </c>
      <c r="Q61" s="194"/>
      <c r="R61" s="988"/>
      <c r="S61" s="989"/>
      <c r="T61" s="989"/>
      <c r="U61" s="989"/>
      <c r="V61" s="989"/>
      <c r="W61" s="989"/>
      <c r="X61" s="989"/>
      <c r="Y61" s="989"/>
      <c r="Z61" s="1597"/>
    </row>
    <row r="62" spans="1:26" ht="17.7" customHeight="1" outlineLevel="1" x14ac:dyDescent="0.3">
      <c r="A62" s="43"/>
      <c r="B62" s="1568" t="s">
        <v>599</v>
      </c>
      <c r="C62" s="866" t="s">
        <v>288</v>
      </c>
      <c r="D62" s="1569" t="s">
        <v>289</v>
      </c>
      <c r="E62" s="194"/>
      <c r="F62" s="1465" t="s">
        <v>590</v>
      </c>
      <c r="G62" s="273">
        <v>0.25</v>
      </c>
      <c r="H62" s="1557">
        <v>0.25</v>
      </c>
      <c r="I62" s="679"/>
      <c r="J62" s="1520"/>
      <c r="K62" s="226" t="s">
        <v>322</v>
      </c>
      <c r="L62" s="1548">
        <f>IF(K61&gt;0,K61*1000000/$D$40,0)</f>
        <v>0</v>
      </c>
      <c r="M62" s="194"/>
      <c r="N62" s="1520" t="s">
        <v>323</v>
      </c>
      <c r="O62" s="278">
        <f>IF(H61&gt;0,((L45*D112)+(L47*D111))/$D$40,0)</f>
        <v>0</v>
      </c>
      <c r="P62" s="1506">
        <f>IF(O61&gt;0,O61*1000000/$D$40,0)</f>
        <v>0</v>
      </c>
      <c r="Q62" s="194"/>
      <c r="R62" s="988"/>
      <c r="S62" s="989"/>
      <c r="T62" s="989"/>
      <c r="U62" s="989"/>
      <c r="V62" s="989"/>
      <c r="W62" s="989"/>
      <c r="X62" s="989"/>
      <c r="Y62" s="989"/>
      <c r="Z62" s="1597"/>
    </row>
    <row r="63" spans="1:26" ht="17.7" customHeight="1" outlineLevel="1" x14ac:dyDescent="0.3">
      <c r="A63" s="43"/>
      <c r="B63" s="1520" t="s">
        <v>600</v>
      </c>
      <c r="C63" s="272" t="s">
        <v>328</v>
      </c>
      <c r="D63" s="1567">
        <v>20000</v>
      </c>
      <c r="E63" s="269"/>
      <c r="F63" s="1520" t="s">
        <v>591</v>
      </c>
      <c r="G63" s="264" t="str">
        <f>IF('C-Produção CDR-TMB'!$E$7="SIM",'C-Produção CDR-TMB'!$D$17,IF('C-Produção CDR-TMB'!$I$7="SIM",'C-Produção CDR-TMB'!$H$17,IF('C-Produção CDR-TMB'!$M$7="SIM",'C-Produção CDR-TMB'!$L$17,IF('C-Produção CDR-TMB'!$Q$7="SIM",'C-Produção CDR-TMB'!$P$17,IF('C-Produção CDR-TMB'!$U$7="SIM",'C-Produção CDR-TMB'!$T$17,"0")))))</f>
        <v>0</v>
      </c>
      <c r="H63" s="1560"/>
      <c r="I63" s="679"/>
      <c r="J63" s="1549" t="s">
        <v>324</v>
      </c>
      <c r="K63" s="271" t="str">
        <f>IF('C-Produção CDR-TMB'!$E$7="SIM",'C-Produção CDR-TMB'!$E$23,IF('C-Produção CDR-TMB'!$I$7="SIM",'C-Produção CDR-TMB'!$I$23,IF('C-Produção CDR-TMB'!$M$7="SIM",'C-Produção CDR-TMB'!$M$23,IF('C-Produção CDR-TMB'!$Q$7="SIM",'C-Produção CDR-TMB'!$Q$23,IF('C-Produção CDR-TMB'!$U$7="SIM",'C-Produção CDR-TMB'!$U$23,"0")))))</f>
        <v>0</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0</v>
      </c>
      <c r="P63" s="1531">
        <f>IF('C-Produção CDR-TMB'!$E$7="SIM",'C-Produção CDR-TMB'!$E$45,IF('C-Produção CDR-TMB'!$I$7="SIM",'C-Produção CDR-TMB'!$I$45,IF('C-Produção CDR-TMB'!$M$7="SIM",'C-Produção CDR-TMB'!$M$45,IF('C-Produção CDR-TMB'!$Q$7="SIM",'C-Produção CDR-TMB'!$Q$45,IF('C-Produção CDR-TMB'!$U$7="SIM",'C-Produção CDR-TMB'!$U$45,0)))))</f>
        <v>0</v>
      </c>
      <c r="Q63" s="269"/>
      <c r="R63" s="991"/>
      <c r="S63" s="999"/>
      <c r="T63" s="999"/>
      <c r="U63" s="999"/>
      <c r="V63" s="999"/>
      <c r="W63" s="999"/>
      <c r="X63" s="999"/>
      <c r="Y63" s="999"/>
      <c r="Z63" s="1600"/>
    </row>
    <row r="64" spans="1:26" ht="17.7" customHeight="1" outlineLevel="1" x14ac:dyDescent="0.3">
      <c r="A64" s="43"/>
      <c r="B64" s="1520" t="s">
        <v>601</v>
      </c>
      <c r="C64" s="1482" t="s">
        <v>328</v>
      </c>
      <c r="D64" s="1567">
        <v>10000</v>
      </c>
      <c r="E64" s="270"/>
      <c r="F64" s="1097" t="s">
        <v>329</v>
      </c>
      <c r="G64" s="1097" t="str">
        <f>'C-Biodigestão'!L2</f>
        <v>Não'</v>
      </c>
      <c r="H64" s="1097">
        <f>IF('C-Biodigestão'!D2&gt;0,'C-Biodigestão'!H2,0)</f>
        <v>0</v>
      </c>
      <c r="I64" s="679"/>
      <c r="J64" s="1097" t="s">
        <v>329</v>
      </c>
      <c r="K64" s="1624">
        <f>IF('C-Biodigestão'!$E$7="SIM",'C-Biodigestão'!$E$19,IF('C-Biodigestão'!$I$7="SIM",'C-Biodigestão'!$I$19,IF('C-Biodigestão'!$M$7="SIM",'C-Biodigestão'!$M$19,IF('C-Biodigestão'!$Q$7="SIM",'C-Biodigestão'!$Q$19,IF('C-Biodigestão'!$U$7="SIM",'C-Biodigestão'!$U$19,0)))))</f>
        <v>0</v>
      </c>
      <c r="L64" s="1097">
        <f>IF('C-Biodigestão'!$E$7="SIM",'C-Biodigestão'!$E$20,IF('C-Biodigestão'!$I$7="SIM",'C-Biodigestão'!$I$20,IF('C-Biodigestão'!$M$7="SIM",'C-Biodigestão'!$M$20,IF('C-Biodigestão'!$Q$7="SIM",'C-Biodigestão'!$Q$20,IF('C-Biodigestão'!$U$7="SIM",'C-Biodigestão'!$U$20,0)))))</f>
        <v>0</v>
      </c>
      <c r="M64" s="280"/>
      <c r="N64" s="1097" t="s">
        <v>329</v>
      </c>
      <c r="O64" s="1624">
        <f>IF('C-Biodigestão'!$E$7="SIM",'C-Biodigestão'!$E$46,IF('C-Biodigestão'!$I$7="SIM",'C-Biodigestão'!$I$46,IF('C-Biodigestão'!$M$7="SIM",'C-Biodigestão'!$M$46,IF('C-Biodigestão'!$Q$7="SIM",'C-Biodigestão'!$Q$46,IF('C-Biodigestão'!$U$7="SIM",'C-Biodigestão'!$U$46,0)))))</f>
        <v>0</v>
      </c>
      <c r="P64" s="1097">
        <f>IF('C-Biodigestão'!$E$7="SIM",'C-Biodigestão'!$E$45,IF('C-Biodigestão'!$I$7="SIM",'C-Biodigestão'!$I$45,IF('C-Biodigestão'!$M$7="SIM",'C-Biodigestão'!$M$45,IF('C-Biodigestão'!$Q$7="SIM",'C-Biodigestão'!$Q$45,IF('C-Biodigestão'!$U$7="SIM",'C-Biodigestão'!$U$45,0)))))</f>
        <v>0</v>
      </c>
      <c r="Q64" s="194"/>
      <c r="R64" s="988"/>
      <c r="S64" s="989"/>
      <c r="T64" s="989"/>
      <c r="U64" s="989"/>
      <c r="V64" s="989"/>
      <c r="W64" s="989"/>
      <c r="X64" s="989"/>
      <c r="Y64" s="989"/>
      <c r="Z64" s="1597"/>
    </row>
    <row r="65" spans="1:26" ht="17.7" customHeight="1" outlineLevel="1" x14ac:dyDescent="0.3">
      <c r="A65" s="43"/>
      <c r="B65" s="1520" t="s">
        <v>602</v>
      </c>
      <c r="C65" s="1483" t="s">
        <v>328</v>
      </c>
      <c r="D65" s="1567">
        <v>1500</v>
      </c>
      <c r="E65" s="194"/>
      <c r="F65" s="1465" t="s">
        <v>590</v>
      </c>
      <c r="G65" s="273">
        <v>0.25</v>
      </c>
      <c r="H65" s="1557">
        <v>0</v>
      </c>
      <c r="I65" s="864"/>
      <c r="J65" s="1520"/>
      <c r="K65" s="226" t="s">
        <v>322</v>
      </c>
      <c r="L65" s="1548">
        <f>IF(K64&gt;0,K64*1000000/$D$40,0)</f>
        <v>0</v>
      </c>
      <c r="M65" s="281"/>
      <c r="N65" s="1520" t="s">
        <v>323</v>
      </c>
      <c r="O65" s="278">
        <f>IF(H64&gt;0,((P42*D114)+(P45*D117))/$D$40,0)</f>
        <v>0</v>
      </c>
      <c r="P65" s="1506">
        <f>IF(O64&gt;0,O64*1000000/$D$40,0)</f>
        <v>0</v>
      </c>
      <c r="Q65" s="194"/>
      <c r="R65" s="988"/>
      <c r="S65" s="989"/>
      <c r="T65" s="989"/>
      <c r="U65" s="989"/>
      <c r="V65" s="989"/>
      <c r="W65" s="989"/>
      <c r="X65" s="989"/>
      <c r="Y65" s="989"/>
      <c r="Z65" s="1597"/>
    </row>
    <row r="66" spans="1:26" ht="17.7" customHeight="1" outlineLevel="1" x14ac:dyDescent="0.3">
      <c r="A66" s="37"/>
      <c r="B66" s="1520" t="s">
        <v>761</v>
      </c>
      <c r="C66" s="2277" t="s">
        <v>330</v>
      </c>
      <c r="D66" s="2278"/>
      <c r="E66" s="270"/>
      <c r="F66" s="1520" t="s">
        <v>591</v>
      </c>
      <c r="G66" s="264" t="str">
        <f>IF('C-Biodigestão'!$E$7="SIM",'C-Biodigestão'!$D$17,IF('C-Biodigestão'!$I$7="SIM",'C-Biodigestão'!$H$17,IF('C-Biodigestão'!$M$7="SIM",'C-Biodigestão'!$L$17,IF('C-Biodigestão'!$Q$7="SIM",'C-Biodigestão'!$P$17,IF('C-Biodigestão'!$U$7="SIM",'C-Biodigestão'!$T$17,"0")))))</f>
        <v>0</v>
      </c>
      <c r="H66" s="1558"/>
      <c r="I66" s="864"/>
      <c r="J66" s="1549" t="s">
        <v>324</v>
      </c>
      <c r="K66" s="271" t="str">
        <f>IF('C-Biodigestão'!$E$7="SIM",'C-Biodigestão'!$E$26,IF('C-Biodigestão'!$I$7="SIM",'C-Biodigestão'!$I$26,IF('C-Biodigestão'!$M$7="SIM",'C-Biodigestão'!$M$26,IF('C-Biodigestão'!$Q$7="SIM",'C-Biodigestão'!$Q$26,IF('C-Biodigestão'!$U$7="SIM",'C-Biodigestão'!$U$26,"0")))))</f>
        <v>0</v>
      </c>
      <c r="L66" s="1551"/>
      <c r="M66" s="281"/>
      <c r="N66" s="1520" t="s">
        <v>325</v>
      </c>
      <c r="O66" s="278">
        <f>IF('C-Biodigestão'!$E$7="SIM",'C-Biodigestão'!$E$47,IF('C-Biodigestão'!$I$7="SIM",'C-Biodigestão'!$I$47,IF('C-Biodigestão'!$M$7="SIM",'C-Biodigestão'!$M$47,IF('C-Biodigestão'!$Q$7="SIM",'C-Biodigestão'!$Q$47,IF('C-Biodigestão'!$U$7="SIM",'C-Biodigestão'!$U$47,0)))))</f>
        <v>0</v>
      </c>
      <c r="P66" s="1525">
        <f>IF('C-Biodigestão'!$E$7="SIM",'C-Biodigestão'!$E$48,IF('C-Biodigestão'!$I$7="SIM",'C-Biodigestão'!$I$48,IF('C-Biodigestão'!$M$7="SIM",'C-Biodigestão'!$M$48,IF('C-Biodigestão'!$Q$7="SIM",'C-Biodigestão'!$Q$48,IF('C-Biodigestão'!$U$7="SIM",'C-Biodigestão'!$U$48,0)))))</f>
        <v>0</v>
      </c>
      <c r="Q66" s="194"/>
      <c r="R66" s="1000"/>
      <c r="S66" s="1001"/>
      <c r="T66" s="1001"/>
      <c r="U66" s="1001"/>
      <c r="V66" s="1001"/>
      <c r="W66" s="1001"/>
      <c r="X66" s="1001"/>
      <c r="Y66" s="1001"/>
      <c r="Z66" s="1601"/>
    </row>
    <row r="67" spans="1:26" ht="17.7" customHeight="1" outlineLevel="1" x14ac:dyDescent="0.3">
      <c r="A67" s="46"/>
      <c r="B67" s="1520" t="s">
        <v>603</v>
      </c>
      <c r="C67" s="1483" t="s">
        <v>328</v>
      </c>
      <c r="D67" s="1567">
        <v>1250</v>
      </c>
      <c r="E67" s="269"/>
      <c r="F67" s="1097" t="s">
        <v>132</v>
      </c>
      <c r="G67" s="1097" t="str">
        <f>'C-Compostagem'!L2</f>
        <v>Sim</v>
      </c>
      <c r="H67" s="1097">
        <f>IF('C-Compostagem'!D2&gt;0,'C-Compostagem'!H2,0)</f>
        <v>34187.424999999996</v>
      </c>
      <c r="I67" s="679"/>
      <c r="J67" s="1097" t="s">
        <v>132</v>
      </c>
      <c r="K67" s="1624">
        <f>IF('C-Compostagem'!$E$7="SIM",'C-Compostagem'!$E$19,IF('C-Compostagem'!$I$7="SIM",'C-Compostagem'!$I$19,IF('C-Compostagem'!$M$7="SIM",'C-Compostagem'!$M$19,IF('C-Compostagem'!$Q$7="SIM",'C-Compostagem'!$Q$19,IF('C-Compostagem'!$U$7="SIM",'C-Compostagem'!$U$19,0)))))</f>
        <v>12.82281108092012</v>
      </c>
      <c r="L67" s="1097">
        <f>IF('C-Compostagem'!$E$7="SIM",'C-Compostagem'!$E$20,IF('C-Compostagem'!$I$7="SIM",'C-Compostagem'!$I$20,IF('C-Compostagem'!$M$7="SIM",'C-Compostagem'!$M$20,IF('C-Compostagem'!$Q$7="SIM",'C-Compostagem'!$Q$20,IF('C-Compostagem'!$U$7="SIM",'C-Compostagem'!$U$20,0)))))</f>
        <v>375.0739074651022</v>
      </c>
      <c r="M67" s="280"/>
      <c r="N67" s="1097" t="s">
        <v>132</v>
      </c>
      <c r="O67" s="1624">
        <f>IF('C-Compostagem'!$E$7="SIM",'C-Compostagem'!$E$43,IF('C-Compostagem'!$I$7="SIM",'C-Compostagem'!$I$43,IF('C-Compostagem'!$M$7="SIM",'C-Compostagem'!$M$43,IF('C-Compostagem'!$Q$7="SIM",'C-Compostagem'!$Q$43,IF('C-Compostagem'!$U$7="SIM",'C-Compostagem'!$U$43,0)))))</f>
        <v>1.4032895161897498</v>
      </c>
      <c r="P67" s="1097">
        <f>IF('C-Compostagem'!$E$7="SIM",'C-Compostagem'!$E$42,IF('C-Compostagem'!$I$7="SIM",'C-Compostagem'!$I$42,IF('C-Compostagem'!$M$7="SIM",'C-Compostagem'!$M$42,IF('C-Compostagem'!$Q$7="SIM",'C-Compostagem'!$Q$42,IF('C-Compostagem'!$U$7="SIM",'C-Compostagem'!$U$42,0)))))</f>
        <v>41.046949753886118</v>
      </c>
      <c r="Q67" s="105"/>
      <c r="R67" s="1002"/>
      <c r="S67" s="1003"/>
      <c r="T67" s="1003"/>
      <c r="U67" s="1003"/>
      <c r="V67" s="1003"/>
      <c r="W67" s="1003"/>
      <c r="X67" s="1003"/>
      <c r="Y67" s="1003"/>
      <c r="Z67" s="1602"/>
    </row>
    <row r="68" spans="1:26" ht="17.7" customHeight="1" outlineLevel="1" x14ac:dyDescent="0.3">
      <c r="A68" s="34"/>
      <c r="B68" s="1520" t="s">
        <v>604</v>
      </c>
      <c r="C68" s="1482" t="s">
        <v>331</v>
      </c>
      <c r="D68" s="1567">
        <v>0</v>
      </c>
      <c r="E68" s="194"/>
      <c r="F68" s="1465" t="s">
        <v>590</v>
      </c>
      <c r="G68" s="273">
        <v>0.25</v>
      </c>
      <c r="H68" s="1557">
        <v>0</v>
      </c>
      <c r="I68" s="864"/>
      <c r="J68" s="1520"/>
      <c r="K68" s="226" t="s">
        <v>322</v>
      </c>
      <c r="L68" s="1548">
        <f>IF(K67&gt;0,K67*1000000/$D$40,0)</f>
        <v>164.39501385795026</v>
      </c>
      <c r="M68" s="281"/>
      <c r="N68" s="1520" t="s">
        <v>323</v>
      </c>
      <c r="O68" s="278">
        <f>IF(H67&gt;0,((L48*D108)+(L49*D109))/$D$40,0)</f>
        <v>0</v>
      </c>
      <c r="P68" s="1506">
        <f>IF(O67&gt;0,O67*1000000/$D$40,0)</f>
        <v>17.990891233201921</v>
      </c>
      <c r="Q68" s="194"/>
      <c r="R68" s="988"/>
      <c r="S68" s="989"/>
      <c r="T68" s="989"/>
      <c r="U68" s="989"/>
      <c r="V68" s="989"/>
      <c r="W68" s="989"/>
      <c r="X68" s="989"/>
      <c r="Y68" s="989"/>
      <c r="Z68" s="1597"/>
    </row>
    <row r="69" spans="1:26" ht="17.7" customHeight="1" outlineLevel="1" x14ac:dyDescent="0.3">
      <c r="A69" s="34"/>
      <c r="B69" s="1520" t="s">
        <v>605</v>
      </c>
      <c r="C69" s="1482" t="s">
        <v>930</v>
      </c>
      <c r="D69" s="1567">
        <v>0</v>
      </c>
      <c r="E69" s="194"/>
      <c r="F69" s="1520" t="s">
        <v>591</v>
      </c>
      <c r="G69" s="264">
        <f>IF('C-Compostagem'!$E$7="SIM",'C-Compostagem'!$D$17,IF('C-Compostagem'!$I$7="SIM",'C-Compostagem'!$H$17,IF('C-Compostagem'!$M$7="SIM",'C-Compostagem'!$L$17,IF('C-Compostagem'!$Q$7="SIM",'C-Compostagem'!$P$17,IF('C-Compostagem'!$U$7="SIM",'C-Compostagem'!$T$17,"0")))))</f>
        <v>11256.872918291436</v>
      </c>
      <c r="H69" s="1561"/>
      <c r="I69" s="864"/>
      <c r="J69" s="1549" t="s">
        <v>324</v>
      </c>
      <c r="K69" s="271">
        <f>IF('C-Compostagem'!$E$7="SIM",'C-Compostagem'!$E$23,IF('C-Compostagem'!$I$7="SIM",'C-Compostagem'!$I$23,IF('C-Compostagem'!$M$7="SIM",'C-Compostagem'!$M$23,IF('C-Compostagem'!$Q$7="SIM",'C-Compostagem'!$Q$23,IF('C-Compostagem'!$U$7="SIM",'C-Compostagem'!$U$23,"0")))))</f>
        <v>0.61890162514393199</v>
      </c>
      <c r="L69" s="1551"/>
      <c r="M69" s="281"/>
      <c r="N69" s="1520" t="s">
        <v>325</v>
      </c>
      <c r="O69" s="278">
        <f>IF('C-Compostagem'!$E$7="SIM",'C-Compostagem'!$E$44,IF('C-Compostagem'!$I$7="SIM",'C-Compostagem'!$I$44,IF('C-Compostagem'!$M$7="SIM",'C-Compostagem'!$M$44,IF('C-Compostagem'!$Q$7="SIM",'C-Compostagem'!$Q$44,IF('C-Compostagem'!$U$7="SIM",'C-Compostagem'!$U$44,0)))))</f>
        <v>0.40872297600000002</v>
      </c>
      <c r="P69" s="1531">
        <f>IF('C-Compostagem'!$E$7="SIM",'C-Compostagem'!$E$45,IF('C-Compostagem'!$I$7="SIM",'C-Compostagem'!$I$45,IF('C-Compostagem'!$M$7="SIM",'C-Compostagem'!$M$45,IF('C-Compostagem'!$Q$7="SIM",'C-Compostagem'!$Q$45,IF('C-Compostagem'!$U$7="SIM",'C-Compostagem'!$U$45,0)))))</f>
        <v>29.091589676313735</v>
      </c>
      <c r="Q69" s="194"/>
      <c r="R69" s="988"/>
      <c r="S69" s="989"/>
      <c r="T69" s="989"/>
      <c r="U69" s="989"/>
      <c r="V69" s="989"/>
      <c r="W69" s="989"/>
      <c r="X69" s="989"/>
      <c r="Y69" s="989"/>
      <c r="Z69" s="1597"/>
    </row>
    <row r="70" spans="1:26" ht="17.7" customHeight="1" outlineLevel="1" x14ac:dyDescent="0.3">
      <c r="A70" s="34"/>
      <c r="B70" s="1520" t="s">
        <v>606</v>
      </c>
      <c r="C70" s="1483" t="s">
        <v>328</v>
      </c>
      <c r="D70" s="1567">
        <v>100000</v>
      </c>
      <c r="E70" s="194"/>
      <c r="F70" s="1097" t="s">
        <v>64</v>
      </c>
      <c r="G70" s="1097" t="str">
        <f>'C-Incineração'!L2</f>
        <v>Não</v>
      </c>
      <c r="H70" s="1097">
        <f>IF('C-Incineração'!D2&gt;0,'C-Incineração'!H2,0)</f>
        <v>0</v>
      </c>
      <c r="I70" s="679"/>
      <c r="J70" s="1097" t="s">
        <v>64</v>
      </c>
      <c r="K70" s="1624">
        <f>IF('C-Incineração'!$E$7="SIM",'C-Incineração'!$E$19,IF('C-Incineração'!$I$7="SIM",'C-Incineração'!$I$19,IF('C-Incineração'!$M$7="SIM",'C-Incineração'!$M$19,IF('C-Incineração'!$Q$7="SIM",'C-Incineração'!$Q$19,IF('C-Incineração'!$U$7="SIM",'C-Incineração'!$U$19,0)))))</f>
        <v>0</v>
      </c>
      <c r="L70" s="1097">
        <f>IF('C-Incineração'!$E$7="SIM",'C-Incineração'!$E$20,IF('C-Incineração'!$I$7="SIM",'C-Incineração'!$I$20,IF('C-Incineração'!$M$7="SIM",'C-Incineração'!$M$20,IF('C-Incineração'!$Q$7="SIM",'C-Incineração'!$Q$20,IF('C-Incineração'!$U$7="SIM",'C-Incineração'!$U$20,0)))))</f>
        <v>0</v>
      </c>
      <c r="M70" s="280"/>
      <c r="N70" s="1097" t="s">
        <v>64</v>
      </c>
      <c r="O70" s="1624">
        <f>IF('C-Incineração'!$E$7="SIM",'C-Incineração'!$E$52,IF('C-Incineração'!$I$7="SIM",'C-Incineração'!$I$52,IF('C-Incineração'!$M$7="SIM",'C-Incineração'!$M$52,IF('C-Incineração'!$Q$7="SIM",'C-Incineração'!$Q$52,IF('C-Incineração'!$U$7="SIM",'C-Incineração'!$U$52,0)))))</f>
        <v>0</v>
      </c>
      <c r="P70" s="1097">
        <f>IF('C-Incineração'!$E$7="SIM",'C-Incineração'!$E$51,IF('C-Incineração'!$I$7="SIM",'C-Incineração'!$I$51,IF('C-Incineração'!$M$7="SIM",'C-Incineração'!$M$51,IF('C-Incineração'!$Q$7="SIM",'C-Incineração'!$Q$51,IF('C-Incineração'!$U$7="SIM",'C-Incineração'!$U$51,0)))))</f>
        <v>0</v>
      </c>
      <c r="Q70" s="194"/>
      <c r="R70" s="988"/>
      <c r="S70" s="989"/>
      <c r="T70" s="989"/>
      <c r="U70" s="989"/>
      <c r="V70" s="989"/>
      <c r="W70" s="989"/>
      <c r="X70" s="989"/>
      <c r="Y70" s="989"/>
      <c r="Z70" s="1597"/>
    </row>
    <row r="71" spans="1:26" ht="17.7" customHeight="1" outlineLevel="1" x14ac:dyDescent="0.3">
      <c r="A71" s="34"/>
      <c r="B71" s="1520" t="s">
        <v>607</v>
      </c>
      <c r="C71" s="1483" t="s">
        <v>332</v>
      </c>
      <c r="D71" s="1567">
        <v>25000</v>
      </c>
      <c r="E71" s="194"/>
      <c r="F71" s="1465" t="s">
        <v>590</v>
      </c>
      <c r="G71" s="273">
        <v>0.25</v>
      </c>
      <c r="H71" s="1557">
        <v>0</v>
      </c>
      <c r="I71" s="864"/>
      <c r="J71" s="1520"/>
      <c r="K71" s="226" t="s">
        <v>322</v>
      </c>
      <c r="L71" s="1548">
        <f>IF(K70&gt;0,K70*1000000/$D$40,0)</f>
        <v>0</v>
      </c>
      <c r="M71" s="281"/>
      <c r="N71" s="1520" t="s">
        <v>323</v>
      </c>
      <c r="O71" s="278">
        <f>IF(H70&gt;0,((P43*D114))/$D$40,0)</f>
        <v>0</v>
      </c>
      <c r="P71" s="1506">
        <f>IF(O70&gt;0,O70*1000000/$D$40,0)</f>
        <v>0</v>
      </c>
      <c r="Q71" s="194"/>
      <c r="R71" s="988"/>
      <c r="S71" s="989"/>
      <c r="T71" s="989"/>
      <c r="U71" s="989"/>
      <c r="V71" s="989"/>
      <c r="W71" s="989"/>
      <c r="X71" s="989"/>
      <c r="Y71" s="989"/>
      <c r="Z71" s="1597"/>
    </row>
    <row r="72" spans="1:26" ht="17.7" customHeight="1" outlineLevel="1" x14ac:dyDescent="0.3">
      <c r="A72" s="47"/>
      <c r="B72" s="1520" t="s">
        <v>608</v>
      </c>
      <c r="C72" s="1483" t="s">
        <v>333</v>
      </c>
      <c r="D72" s="1565">
        <v>100</v>
      </c>
      <c r="E72" s="194"/>
      <c r="F72" s="1520" t="s">
        <v>591</v>
      </c>
      <c r="G72" s="264" t="str">
        <f>IF('C-Incineração'!$E$7="SIM",'C-Incineração'!$D$17,IF('C-Incineração'!$I$7="SIM",'C-Incineração'!$H$17,IF('C-Incineração'!$M$7="SIM",'C-Incineração'!$L$17,IF('C-Incineração'!$Q$7="SIM",'C-Incineração'!$P$17,IF('C-Incineração'!$U$7="SIM",'C-Incineração'!$T$17,"0")))))</f>
        <v>0</v>
      </c>
      <c r="H72" s="1562"/>
      <c r="I72" s="864"/>
      <c r="J72" s="1549" t="s">
        <v>324</v>
      </c>
      <c r="K72" s="271" t="str">
        <f>IF('C-Incineração'!$E$7="SIM",'C-Incineração'!$E$25,IF('C-Incineração'!$I$7="SIM",'C-Incineração'!$I$25,IF('C-Incineração'!$M$7="SIM",'C-Incineração'!$M$25,IF('C-Incineração'!$Q$7="SIM",'C-Incineração'!$Q$25,IF('C-Incineração'!$U$7="SIM",'C-Incineração'!$U$25,"0")))))</f>
        <v>0</v>
      </c>
      <c r="L72" s="1551"/>
      <c r="M72" s="281"/>
      <c r="N72" s="1520" t="s">
        <v>325</v>
      </c>
      <c r="O72" s="278">
        <f>IF('C-Incineração'!$E$7="SIM",'C-Incineração'!$E$53,IF('C-Incineração'!$I$7="SIM",'C-Incineração'!$I$53,IF('C-Incineração'!$M$7="SIM",'C-Incineração'!$M$53,IF('C-Incineração'!$Q$7="SIM",'C-Incineração'!$Q$53,IF('C-Incineração'!$U$7="SIM",'C-Incineração'!$U$53,0)))))</f>
        <v>0</v>
      </c>
      <c r="P72" s="1531">
        <f>IF('C-Incineração'!$E$7="SIM",'C-Incineração'!$E$54,IF('C-Incineração'!$I$7="SIM",'C-Incineração'!$I$54,IF('C-Incineração'!$M$7="SIM",'C-Incineração'!$M$54,IF('C-Incineração'!$Q$7="SIM",'C-Incineração'!$Q$54,IF('C-Incineração'!$U$7="SIM",'C-Incineração'!$U$54,0)))))</f>
        <v>0</v>
      </c>
      <c r="Q72" s="194"/>
      <c r="R72" s="988"/>
      <c r="S72" s="989"/>
      <c r="T72" s="989"/>
      <c r="U72" s="989"/>
      <c r="V72" s="989"/>
      <c r="W72" s="989"/>
      <c r="X72" s="989"/>
      <c r="Y72" s="989"/>
      <c r="Z72" s="1597"/>
    </row>
    <row r="73" spans="1:26" ht="17.7" customHeight="1" outlineLevel="1" x14ac:dyDescent="0.3">
      <c r="A73" s="34"/>
      <c r="B73" s="1520" t="s">
        <v>609</v>
      </c>
      <c r="C73" s="1482" t="s">
        <v>327</v>
      </c>
      <c r="D73" s="1565">
        <v>53</v>
      </c>
      <c r="E73" s="194"/>
      <c r="F73" s="1097" t="s">
        <v>66</v>
      </c>
      <c r="G73" s="1097" t="str">
        <f>'C-Aterro Sanitário'!L2</f>
        <v>Sim</v>
      </c>
      <c r="H73" s="1097">
        <f>IF('C-Aterro Sanitário'!D2&gt;0,'C-Aterro Sanitário'!H2,0)</f>
        <v>50359.743750000001</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15.104818405593752</v>
      </c>
      <c r="L73" s="1097">
        <f>IF('C-Aterro Sanitário'!$E$7="SIM",'C-Aterro Sanitário'!$E$19,IF('C-Aterro Sanitário'!$I$7="SIM",'C-Aterro Sanitário'!$I$19,IF('C-Aterro Sanitário'!$M$7="SIM",'C-Aterro Sanitário'!$M$19,IF('C-Aterro Sanitário'!$Q$7="SIM",'C-Aterro Sanitário'!$Q$19,IF('C-Aterro Sanitário'!$U$7="SIM",'C-Aterro Sanitário'!$U$19,0)))))</f>
        <v>299.93834918180562</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5.7502979846739244</v>
      </c>
      <c r="P73" s="1097">
        <f>IF('C-Aterro Sanitário'!$E$7="SIM",'C-Aterro Sanitário'!$E$45,IF('C-Aterro Sanitário'!$I$7="SIM",'C-Aterro Sanitário'!$I$45,IF('C-Aterro Sanitário'!$M$7="SIM",'C-Aterro Sanitário'!$M$45,IF('C-Aterro Sanitário'!$Q$7="SIM",'C-Aterro Sanitário'!$Q$45,IF('C-Aterro Sanitário'!$U$7="SIM",'C-Aterro Sanitário'!$U$45,0)))))</f>
        <v>114.18441708559973</v>
      </c>
      <c r="Q73" s="194"/>
      <c r="R73" s="988"/>
      <c r="S73" s="989"/>
      <c r="T73" s="989"/>
      <c r="U73" s="989"/>
      <c r="V73" s="989"/>
      <c r="W73" s="989"/>
      <c r="X73" s="989"/>
      <c r="Y73" s="989"/>
      <c r="Z73" s="1597"/>
    </row>
    <row r="74" spans="1:26" ht="17.7" customHeight="1" outlineLevel="1" x14ac:dyDescent="0.3">
      <c r="A74" s="47"/>
      <c r="B74" s="1520" t="s">
        <v>610</v>
      </c>
      <c r="C74" s="1482" t="s">
        <v>334</v>
      </c>
      <c r="D74" s="1565">
        <v>3</v>
      </c>
      <c r="E74" s="194"/>
      <c r="F74" s="1465" t="s">
        <v>590</v>
      </c>
      <c r="G74" s="273">
        <v>1</v>
      </c>
      <c r="H74" s="1605">
        <v>0</v>
      </c>
      <c r="I74" s="864"/>
      <c r="J74" s="1520"/>
      <c r="K74" s="226" t="s">
        <v>322</v>
      </c>
      <c r="L74" s="1548">
        <f>IF(K73&gt;0,K73*1000000/$D$40,0)</f>
        <v>193.65151802043272</v>
      </c>
      <c r="M74" s="281"/>
      <c r="N74" s="1520" t="s">
        <v>323</v>
      </c>
      <c r="O74" s="278">
        <f>IF(H73&gt;0,((P44*D114+P46*D117))/$D$40,0)</f>
        <v>0</v>
      </c>
      <c r="P74" s="1506">
        <f>IF(O73&gt;0,O73*1000000/$D$40,0)</f>
        <v>73.721769034281081</v>
      </c>
      <c r="Q74" s="194"/>
      <c r="R74" s="988"/>
      <c r="S74" s="989"/>
      <c r="T74" s="989"/>
      <c r="U74" s="989"/>
      <c r="V74" s="989"/>
      <c r="W74" s="989"/>
      <c r="X74" s="989"/>
      <c r="Y74" s="989"/>
      <c r="Z74" s="1597"/>
    </row>
    <row r="75" spans="1:26" ht="17.7" customHeight="1" outlineLevel="1" x14ac:dyDescent="0.3">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18.722902202845312</v>
      </c>
      <c r="L75" s="1531">
        <f>IF(K73&gt;0,K75*1000000/(H73*20),0)</f>
        <v>18.589155552291022</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1.5951447190464276</v>
      </c>
      <c r="P75" s="1531">
        <f>IF('C-Aterro Sanitário'!$E$7="SIM",'C-Aterro Sanitário'!$E$48,IF('C-Aterro Sanitário'!$I$7="SIM",'C-Aterro Sanitário'!$I$48,IF('C-Aterro Sanitário'!$M$7="SIM",'C-Aterro Sanitário'!$M$48,IF('C-Aterro Sanitário'!$Q$7="SIM",'C-Aterro Sanitário'!$Q$48,IF('C-Aterro Sanitário'!$U$7="SIM",'C-Aterro Sanitário'!$U$48,0)))))</f>
        <v>82.50942034683203</v>
      </c>
      <c r="Q75" s="194"/>
      <c r="R75" s="988"/>
      <c r="S75" s="989"/>
      <c r="T75" s="989"/>
      <c r="U75" s="989"/>
      <c r="V75" s="989"/>
      <c r="W75" s="989"/>
      <c r="X75" s="989"/>
      <c r="Y75" s="989"/>
      <c r="Z75" s="1597"/>
    </row>
    <row r="76" spans="1:26" ht="17.7" customHeight="1" outlineLevel="1" x14ac:dyDescent="0.3">
      <c r="A76" s="47"/>
      <c r="B76" s="1520" t="s">
        <v>612</v>
      </c>
      <c r="C76" s="1483" t="s">
        <v>923</v>
      </c>
      <c r="D76" s="2086">
        <v>1.0780000000000001</v>
      </c>
      <c r="E76" s="194"/>
      <c r="F76" s="1465" t="s">
        <v>336</v>
      </c>
      <c r="G76" s="275">
        <f>IF(K78&lt;&gt;0,(G53*K52+G56*K55+G59*K58+G62*K61+G65*K64+G68*K67+G71*K70+G74*K73)/K78,0)</f>
        <v>0.36798348941648906</v>
      </c>
      <c r="H76" s="1563"/>
      <c r="I76" s="864"/>
      <c r="J76" s="1465"/>
      <c r="K76" s="276"/>
      <c r="L76" s="1537"/>
      <c r="M76" s="281"/>
      <c r="N76" s="1520"/>
      <c r="O76" s="1481"/>
      <c r="P76" s="1538"/>
      <c r="Q76" s="194"/>
      <c r="R76" s="988"/>
      <c r="S76" s="989"/>
      <c r="T76" s="989"/>
      <c r="U76" s="989"/>
      <c r="V76" s="989"/>
      <c r="W76" s="989"/>
      <c r="X76" s="989"/>
      <c r="Y76" s="989"/>
      <c r="Z76" s="1597"/>
    </row>
    <row r="77" spans="1:26" ht="17.7" customHeight="1" outlineLevel="1" x14ac:dyDescent="0.3">
      <c r="A77" s="34"/>
      <c r="B77" s="1520" t="s">
        <v>613</v>
      </c>
      <c r="C77" s="1483" t="s">
        <v>923</v>
      </c>
      <c r="D77" s="2086">
        <v>7.26</v>
      </c>
      <c r="E77" s="194"/>
      <c r="F77" s="1465" t="s">
        <v>593</v>
      </c>
      <c r="G77" s="263">
        <f>G54+G57+G60+G63+G66+G69+G72</f>
        <v>24216.598493343095</v>
      </c>
      <c r="H77" s="1561"/>
      <c r="I77" s="864"/>
      <c r="J77" s="1552" t="s">
        <v>337</v>
      </c>
      <c r="K77" s="279">
        <f>K54+K57+K60+K63+K66+K69+K72</f>
        <v>1.9806429540099981</v>
      </c>
      <c r="L77" s="1521" t="s">
        <v>338</v>
      </c>
      <c r="M77" s="281"/>
      <c r="N77" s="1520"/>
      <c r="O77" s="1481"/>
      <c r="P77" s="1538"/>
      <c r="Q77" s="194"/>
      <c r="R77" s="988"/>
      <c r="S77" s="989"/>
      <c r="T77" s="989"/>
      <c r="U77" s="989"/>
      <c r="V77" s="989"/>
      <c r="W77" s="989"/>
      <c r="X77" s="989"/>
      <c r="Y77" s="989"/>
      <c r="Z77" s="1597"/>
    </row>
    <row r="78" spans="1:26" ht="17.7" customHeight="1" outlineLevel="1" thickBot="1" x14ac:dyDescent="0.35">
      <c r="A78" s="34"/>
      <c r="B78" s="2082" t="s">
        <v>1118</v>
      </c>
      <c r="C78" s="869" t="s">
        <v>1117</v>
      </c>
      <c r="D78" s="2087">
        <v>2.2000000000000002</v>
      </c>
      <c r="E78" s="194"/>
      <c r="F78" s="2275" t="s">
        <v>615</v>
      </c>
      <c r="G78" s="2276"/>
      <c r="H78" s="1541">
        <f>'R-Resumo Bal. Massa'!D16*312</f>
        <v>78000</v>
      </c>
      <c r="I78" s="679"/>
      <c r="J78" s="1539" t="s">
        <v>339</v>
      </c>
      <c r="K78" s="1540">
        <f>K52+K55+K58+K61+K64+K67+K70+K73</f>
        <v>96.018636677243919</v>
      </c>
      <c r="L78" s="1541">
        <f>K78*1000000/H78</f>
        <v>1231.0081625287683</v>
      </c>
      <c r="M78" s="280"/>
      <c r="N78" s="1539" t="s">
        <v>597</v>
      </c>
      <c r="O78" s="1540">
        <f>O52+O55+O58+O61+O64+O67+O70+O73</f>
        <v>18.167024120372062</v>
      </c>
      <c r="P78" s="1541">
        <f>O78*1000000/H78</f>
        <v>232.91056564579566</v>
      </c>
      <c r="Q78" s="194"/>
      <c r="R78" s="988"/>
      <c r="S78" s="989"/>
      <c r="T78" s="989"/>
      <c r="U78" s="989"/>
      <c r="V78" s="989"/>
      <c r="W78" s="989"/>
      <c r="X78" s="989"/>
      <c r="Y78" s="989"/>
      <c r="Z78" s="1597"/>
    </row>
    <row r="79" spans="1:26" ht="15" customHeight="1" outlineLevel="1" thickTop="1" thickBot="1" x14ac:dyDescent="0.35">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050000000000001" customHeight="1" thickTop="1" thickBot="1" x14ac:dyDescent="0.35">
      <c r="A80" s="41"/>
      <c r="B80" s="148"/>
      <c r="C80" s="261"/>
      <c r="D80" s="261"/>
      <c r="E80" s="725"/>
      <c r="Q80" s="41"/>
      <c r="R80" s="1004"/>
      <c r="S80" s="1005"/>
      <c r="T80" s="1005"/>
      <c r="U80" s="1005"/>
      <c r="V80" s="1005"/>
      <c r="W80" s="1005"/>
      <c r="X80" s="1005"/>
      <c r="Y80" s="1005"/>
      <c r="Z80" s="1603"/>
    </row>
    <row r="81" spans="1:26" ht="17.7" customHeight="1" collapsed="1" thickTop="1" x14ac:dyDescent="0.3">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7" hidden="1" customHeight="1" outlineLevel="1" x14ac:dyDescent="0.3">
      <c r="A82" s="36"/>
      <c r="B82" s="1520" t="s">
        <v>616</v>
      </c>
      <c r="C82" s="516" t="s">
        <v>342</v>
      </c>
      <c r="D82" s="1571">
        <v>498</v>
      </c>
      <c r="E82" s="504"/>
      <c r="F82" s="1520" t="s">
        <v>717</v>
      </c>
      <c r="G82" s="1482" t="s">
        <v>292</v>
      </c>
      <c r="H82" s="1543">
        <f>((L36)*D101+(L37)*D102+(L38)*D103+(L39)*D104+(L40+L42)*D105+(L41+L43)*D106)/1000000</f>
        <v>3.9930367096024426</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114.19733647155105</v>
      </c>
      <c r="Q82" s="504"/>
      <c r="R82" s="1006"/>
      <c r="S82" s="989"/>
      <c r="T82" s="989"/>
      <c r="U82" s="989"/>
      <c r="V82" s="989"/>
      <c r="W82" s="989"/>
      <c r="X82" s="989"/>
      <c r="Y82" s="989"/>
      <c r="Z82" s="1597"/>
    </row>
    <row r="83" spans="1:26" ht="17.7" hidden="1" customHeight="1" outlineLevel="1" x14ac:dyDescent="0.3">
      <c r="A83" s="36"/>
      <c r="B83" s="1520" t="s">
        <v>617</v>
      </c>
      <c r="C83" s="516" t="s">
        <v>342</v>
      </c>
      <c r="D83" s="1571">
        <v>0</v>
      </c>
      <c r="E83" s="504"/>
      <c r="F83" s="1520" t="s">
        <v>620</v>
      </c>
      <c r="G83" s="1482" t="s">
        <v>292</v>
      </c>
      <c r="H83" s="1543">
        <f>((L44+L45)*D112+(L46+L47)*D111)/1000000</f>
        <v>1.5183983506308441</v>
      </c>
      <c r="I83" s="151"/>
      <c r="J83" s="1520" t="s">
        <v>626</v>
      </c>
      <c r="K83" s="1482" t="s">
        <v>292</v>
      </c>
      <c r="L83" s="1543">
        <f>D83*D42/1000000</f>
        <v>0</v>
      </c>
      <c r="M83" s="504"/>
      <c r="N83" s="1520" t="s">
        <v>988</v>
      </c>
      <c r="O83" s="516" t="s">
        <v>344</v>
      </c>
      <c r="P83" s="1581">
        <f>IF(O67&lt;&gt;0,O67*1000000/(H37+H38),0)</f>
        <v>84.401935957448146</v>
      </c>
      <c r="Q83" s="504"/>
      <c r="R83" s="1006"/>
      <c r="S83" s="989"/>
      <c r="T83" s="989"/>
      <c r="U83" s="989"/>
      <c r="V83" s="989"/>
      <c r="W83" s="989"/>
      <c r="X83" s="989"/>
      <c r="Y83" s="989"/>
      <c r="Z83" s="1597"/>
    </row>
    <row r="84" spans="1:26" ht="17.7" hidden="1" customHeight="1" outlineLevel="1" x14ac:dyDescent="0.3">
      <c r="A84" s="36"/>
      <c r="B84" s="1520" t="s">
        <v>618</v>
      </c>
      <c r="C84" s="516" t="s">
        <v>342</v>
      </c>
      <c r="D84" s="1571">
        <v>42.8</v>
      </c>
      <c r="E84" s="504"/>
      <c r="F84" s="1520" t="s">
        <v>718</v>
      </c>
      <c r="G84" s="1482" t="s">
        <v>292</v>
      </c>
      <c r="H84" s="1543">
        <f>(L48*D108+L49*D109)/1000000</f>
        <v>0</v>
      </c>
      <c r="I84" s="151"/>
      <c r="J84" s="1520" t="s">
        <v>627</v>
      </c>
      <c r="K84" s="1482" t="s">
        <v>292</v>
      </c>
      <c r="L84" s="1543">
        <f>D84*D43/1000000</f>
        <v>3.3384</v>
      </c>
      <c r="M84" s="504"/>
      <c r="N84" s="1520" t="s">
        <v>719</v>
      </c>
      <c r="O84" s="516" t="s">
        <v>345</v>
      </c>
      <c r="P84" s="1581">
        <f>IF(O52&lt;&gt;0,O52*1000000/(SUM(P36:P41)),0)</f>
        <v>0</v>
      </c>
      <c r="Q84" s="504"/>
      <c r="R84" s="1006"/>
      <c r="S84" s="989"/>
      <c r="T84" s="989"/>
      <c r="U84" s="989"/>
      <c r="V84" s="989"/>
      <c r="W84" s="989"/>
      <c r="X84" s="989"/>
      <c r="Y84" s="989"/>
      <c r="Z84" s="1597"/>
    </row>
    <row r="85" spans="1:26" ht="17.7" hidden="1" customHeight="1" outlineLevel="1" x14ac:dyDescent="0.3">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0</v>
      </c>
      <c r="I85" s="151"/>
      <c r="J85" s="1520" t="s">
        <v>628</v>
      </c>
      <c r="K85" s="1482" t="s">
        <v>292</v>
      </c>
      <c r="L85" s="1543">
        <f>IF('R-Definição'!O120="Sim",D85*D43/1000000,0)</f>
        <v>0</v>
      </c>
      <c r="M85" s="504"/>
      <c r="N85" s="1520" t="s">
        <v>720</v>
      </c>
      <c r="O85" s="516" t="s">
        <v>345</v>
      </c>
      <c r="P85" s="1581">
        <f>IF(O55&lt;&gt;0,O55*1000000/(SUM(L36:L41)),0)</f>
        <v>1375.9162064395377</v>
      </c>
      <c r="Q85" s="504"/>
      <c r="R85" s="1006"/>
      <c r="S85" s="989"/>
      <c r="T85" s="989"/>
      <c r="U85" s="989"/>
      <c r="V85" s="989"/>
      <c r="W85" s="989"/>
      <c r="X85" s="989"/>
      <c r="Y85" s="989"/>
      <c r="Z85" s="1597"/>
    </row>
    <row r="86" spans="1:26" ht="17.7" hidden="1" customHeight="1" outlineLevel="1" x14ac:dyDescent="0.3">
      <c r="A86" s="36"/>
      <c r="B86" s="1520"/>
      <c r="C86" s="1722"/>
      <c r="D86" s="1572"/>
      <c r="E86" s="504"/>
      <c r="F86" s="1520" t="s">
        <v>622</v>
      </c>
      <c r="G86" s="1482" t="s">
        <v>292</v>
      </c>
      <c r="H86" s="1543">
        <f>P42*D114/1000000</f>
        <v>0</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7" hidden="1" customHeight="1" outlineLevel="1" x14ac:dyDescent="0.3">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0</v>
      </c>
      <c r="Q87" s="504"/>
      <c r="R87" s="1006"/>
      <c r="S87" s="989"/>
      <c r="T87" s="989"/>
      <c r="U87" s="989"/>
      <c r="V87" s="989"/>
      <c r="W87" s="989"/>
      <c r="X87" s="989"/>
      <c r="Y87" s="989"/>
      <c r="Z87" s="1597"/>
    </row>
    <row r="88" spans="1:26" ht="17.7" hidden="1" customHeight="1" outlineLevel="1" x14ac:dyDescent="0.3">
      <c r="A88" s="36"/>
      <c r="B88" s="1520" t="s">
        <v>940</v>
      </c>
      <c r="C88" s="1722" t="s">
        <v>342</v>
      </c>
      <c r="D88" s="1567">
        <v>50</v>
      </c>
      <c r="E88" s="504"/>
      <c r="F88" s="1520" t="s">
        <v>820</v>
      </c>
      <c r="G88" s="1482" t="s">
        <v>292</v>
      </c>
      <c r="H88" s="1543">
        <f>P45*D117/1000000</f>
        <v>0</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7" hidden="1" customHeight="1" outlineLevel="1" x14ac:dyDescent="0.3">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7" hidden="1" customHeight="1" outlineLevel="1" thickBot="1" x14ac:dyDescent="0.35">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7" hidden="1" customHeight="1" outlineLevel="1" thickTop="1" x14ac:dyDescent="0.3">
      <c r="A91" s="36"/>
      <c r="B91" s="1520"/>
      <c r="C91" s="1722"/>
      <c r="D91" s="1572"/>
      <c r="E91" s="504"/>
      <c r="F91" s="1555" t="s">
        <v>826</v>
      </c>
      <c r="G91" s="266" t="s">
        <v>292</v>
      </c>
      <c r="H91" s="1546">
        <f>SUM(H82:H89)</f>
        <v>5.5114350602332864</v>
      </c>
      <c r="I91" s="269"/>
      <c r="J91" s="1545" t="s">
        <v>561</v>
      </c>
      <c r="K91" s="266" t="s">
        <v>292</v>
      </c>
      <c r="L91" s="1546">
        <f>SUM(L82:L85)</f>
        <v>3.3384</v>
      </c>
      <c r="M91" s="504"/>
      <c r="N91" s="269"/>
      <c r="O91" s="504"/>
      <c r="P91" s="504"/>
      <c r="Q91" s="504"/>
      <c r="R91" s="1006"/>
      <c r="S91" s="989"/>
      <c r="T91" s="989"/>
      <c r="U91" s="989"/>
      <c r="V91" s="989"/>
      <c r="W91" s="989"/>
      <c r="X91" s="989"/>
      <c r="Y91" s="989"/>
      <c r="Z91" s="1597"/>
    </row>
    <row r="92" spans="1:26" ht="17.7" hidden="1" customHeight="1" outlineLevel="1" x14ac:dyDescent="0.3">
      <c r="A92" s="36"/>
      <c r="B92" s="1520"/>
      <c r="C92" s="1722"/>
      <c r="D92" s="1572"/>
      <c r="E92" s="504"/>
      <c r="F92" s="1505" t="s">
        <v>347</v>
      </c>
      <c r="G92" s="1482" t="s">
        <v>342</v>
      </c>
      <c r="H92" s="1531">
        <f>H91*1000000/D40</f>
        <v>70.659423849144702</v>
      </c>
      <c r="I92" s="151"/>
      <c r="J92" s="1520" t="s">
        <v>629</v>
      </c>
      <c r="K92" s="1482" t="s">
        <v>342</v>
      </c>
      <c r="L92" s="1531">
        <f>L91*1000000/D40</f>
        <v>42.8</v>
      </c>
      <c r="M92" s="504"/>
      <c r="N92" s="504"/>
      <c r="O92" s="504"/>
      <c r="P92" s="504"/>
      <c r="Q92" s="504"/>
      <c r="R92" s="1006"/>
      <c r="S92" s="989"/>
      <c r="T92" s="989"/>
      <c r="U92" s="989"/>
      <c r="V92" s="989"/>
      <c r="W92" s="989"/>
      <c r="X92" s="989"/>
      <c r="Y92" s="989"/>
      <c r="Z92" s="1597"/>
    </row>
    <row r="93" spans="1:26" ht="15" hidden="1" customHeight="1" outlineLevel="1" thickBot="1" x14ac:dyDescent="0.35">
      <c r="A93" s="36"/>
      <c r="B93" s="1522"/>
      <c r="C93" s="1508"/>
      <c r="D93" s="2000"/>
      <c r="E93" s="504"/>
      <c r="F93" s="1507" t="s">
        <v>822</v>
      </c>
      <c r="G93" s="1508" t="s">
        <v>929</v>
      </c>
      <c r="H93" s="1547">
        <f>H92*($D$7*30/$D$6)</f>
        <v>1.287535329141333</v>
      </c>
      <c r="I93" s="151"/>
      <c r="J93" s="1522" t="s">
        <v>823</v>
      </c>
      <c r="K93" s="1508" t="s">
        <v>299</v>
      </c>
      <c r="L93" s="1547">
        <f>L92*($D$7*30/$D$6)</f>
        <v>0.7798890662468384</v>
      </c>
      <c r="M93" s="504"/>
      <c r="N93" s="504"/>
      <c r="O93" s="504"/>
      <c r="P93" s="504"/>
      <c r="Q93" s="504"/>
      <c r="R93" s="1006"/>
      <c r="S93" s="989"/>
      <c r="T93" s="989"/>
      <c r="U93" s="989"/>
      <c r="V93" s="989"/>
      <c r="W93" s="989"/>
      <c r="X93" s="989"/>
      <c r="Y93" s="989"/>
      <c r="Z93" s="1597"/>
    </row>
    <row r="94" spans="1:26" s="862" customFormat="1" ht="19.95" hidden="1" customHeight="1" outlineLevel="1" thickTop="1" thickBot="1" x14ac:dyDescent="0.35">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95" hidden="1" customHeight="1" outlineLevel="1" thickTop="1" thickBot="1" x14ac:dyDescent="0.35">
      <c r="A95" s="41"/>
      <c r="B95" s="2268" t="s">
        <v>886</v>
      </c>
      <c r="C95" s="2269"/>
      <c r="D95" s="2269"/>
      <c r="E95" s="2269"/>
      <c r="F95" s="2269"/>
      <c r="G95" s="2269"/>
      <c r="H95" s="2269"/>
      <c r="I95" s="2269"/>
      <c r="J95" s="2269"/>
      <c r="K95" s="2269"/>
      <c r="L95" s="2270"/>
      <c r="M95" s="41"/>
      <c r="N95" s="41"/>
      <c r="O95" s="41"/>
      <c r="P95" s="41"/>
      <c r="Q95" s="41"/>
      <c r="R95" s="2088"/>
      <c r="S95" s="2089"/>
      <c r="T95" s="2089"/>
      <c r="U95" s="2089"/>
      <c r="V95" s="2089"/>
      <c r="W95" s="2089"/>
      <c r="X95" s="2089"/>
      <c r="Y95" s="2089"/>
      <c r="Z95" s="2090"/>
    </row>
    <row r="96" spans="1:26" s="1717" customFormat="1" ht="10.199999999999999" hidden="1" customHeight="1" outlineLevel="1" thickTop="1" thickBot="1" x14ac:dyDescent="0.35">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7" hidden="1" customHeight="1" outlineLevel="1" thickTop="1" x14ac:dyDescent="0.3">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7" hidden="1" customHeight="1" outlineLevel="1" x14ac:dyDescent="0.3">
      <c r="A98" s="36"/>
      <c r="B98" s="1465" t="s">
        <v>1018</v>
      </c>
      <c r="C98" s="265" t="s">
        <v>308</v>
      </c>
      <c r="D98" s="1529" t="s">
        <v>6</v>
      </c>
      <c r="E98" s="504"/>
      <c r="F98" s="1465" t="s">
        <v>624</v>
      </c>
      <c r="G98" s="226" t="s">
        <v>292</v>
      </c>
      <c r="H98" s="1573">
        <f>O78+H9</f>
        <v>19.740966620372063</v>
      </c>
      <c r="I98" s="151"/>
      <c r="J98" s="1465" t="s">
        <v>632</v>
      </c>
      <c r="K98" s="226" t="s">
        <v>292</v>
      </c>
      <c r="L98" s="1573">
        <f>H98+L91</f>
        <v>23.079366620372063</v>
      </c>
      <c r="M98" s="504"/>
      <c r="N98" s="504"/>
      <c r="O98" s="504"/>
      <c r="P98" s="504"/>
      <c r="Q98" s="504"/>
      <c r="R98" s="1006"/>
      <c r="S98" s="989"/>
      <c r="T98" s="989"/>
      <c r="U98" s="989"/>
      <c r="V98" s="989"/>
      <c r="W98" s="989"/>
      <c r="X98" s="989"/>
      <c r="Y98" s="989"/>
      <c r="Z98" s="1597"/>
    </row>
    <row r="99" spans="1:26" ht="17.7" hidden="1" customHeight="1" outlineLevel="1" thickBot="1" x14ac:dyDescent="0.35">
      <c r="A99" s="36"/>
      <c r="B99" s="1520" t="s">
        <v>1019</v>
      </c>
      <c r="C99" s="1722" t="s">
        <v>195</v>
      </c>
      <c r="D99" s="1781">
        <v>1</v>
      </c>
      <c r="E99" s="504"/>
      <c r="F99" s="1520" t="s">
        <v>624</v>
      </c>
      <c r="G99" s="1482" t="s">
        <v>342</v>
      </c>
      <c r="H99" s="1579">
        <f>H98*1000000/D40</f>
        <v>253.08931564579569</v>
      </c>
      <c r="I99" s="151"/>
      <c r="J99" s="1520" t="s">
        <v>633</v>
      </c>
      <c r="K99" s="1482" t="s">
        <v>342</v>
      </c>
      <c r="L99" s="1579">
        <f>L98*1000000/D40</f>
        <v>295.8893156457957</v>
      </c>
      <c r="M99" s="504"/>
      <c r="N99" s="504"/>
      <c r="O99" s="504"/>
      <c r="P99" s="504"/>
      <c r="Q99" s="504"/>
      <c r="R99" s="1006"/>
      <c r="S99" s="989"/>
      <c r="T99" s="989"/>
      <c r="U99" s="989"/>
      <c r="V99" s="989"/>
      <c r="W99" s="989"/>
      <c r="X99" s="989"/>
      <c r="Y99" s="989"/>
      <c r="Z99" s="1597"/>
    </row>
    <row r="100" spans="1:26" ht="17.7" hidden="1" customHeight="1" outlineLevel="1" thickTop="1" thickBot="1" x14ac:dyDescent="0.35">
      <c r="A100" s="36"/>
      <c r="B100" s="1520" t="s">
        <v>1059</v>
      </c>
      <c r="C100" s="1728" t="s">
        <v>195</v>
      </c>
      <c r="D100" s="1530">
        <v>0.25</v>
      </c>
      <c r="E100" s="504"/>
      <c r="F100" s="1522" t="s">
        <v>824</v>
      </c>
      <c r="G100" s="1508" t="s">
        <v>929</v>
      </c>
      <c r="H100" s="1580">
        <f>H99*($D$7*30/$D$6)</f>
        <v>4.6117193938329661</v>
      </c>
      <c r="I100" s="151"/>
      <c r="J100" s="1522" t="s">
        <v>825</v>
      </c>
      <c r="K100" s="1508" t="s">
        <v>299</v>
      </c>
      <c r="L100" s="1580">
        <f>L99*($D$7*30/$D$6)</f>
        <v>5.3916084600798051</v>
      </c>
      <c r="M100" s="504"/>
      <c r="N100" s="504"/>
      <c r="O100" s="504"/>
      <c r="P100" s="504"/>
      <c r="Q100" s="504"/>
      <c r="R100" s="1006"/>
      <c r="S100" s="989"/>
      <c r="T100" s="989"/>
      <c r="U100" s="989"/>
      <c r="V100" s="989"/>
      <c r="W100" s="989"/>
      <c r="X100" s="989"/>
      <c r="Y100" s="989"/>
      <c r="Z100" s="1597"/>
    </row>
    <row r="101" spans="1:26" ht="17.7" hidden="1" customHeight="1" outlineLevel="1" thickTop="1" x14ac:dyDescent="0.3">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7" hidden="1" customHeight="1" outlineLevel="1" x14ac:dyDescent="0.3">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7" hidden="1" customHeight="1" outlineLevel="1" x14ac:dyDescent="0.3">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7" hidden="1" customHeight="1" outlineLevel="1" x14ac:dyDescent="0.3">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7" hidden="1" customHeight="1" outlineLevel="1" x14ac:dyDescent="0.3">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7" hidden="1" customHeight="1" outlineLevel="1" x14ac:dyDescent="0.3">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7" hidden="1" customHeight="1" outlineLevel="1" x14ac:dyDescent="0.3">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7" hidden="1" customHeight="1" outlineLevel="1" x14ac:dyDescent="0.3">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7" hidden="1" customHeight="1" outlineLevel="1" x14ac:dyDescent="0.3">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7" hidden="1" customHeight="1" outlineLevel="1" x14ac:dyDescent="0.3">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7" hidden="1" customHeight="1" outlineLevel="1" x14ac:dyDescent="0.3">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7" hidden="1" customHeight="1" outlineLevel="1" x14ac:dyDescent="0.3">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7" hidden="1" customHeight="1" outlineLevel="1" x14ac:dyDescent="0.3">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7" hidden="1" customHeight="1" outlineLevel="1" x14ac:dyDescent="0.3">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7" hidden="1" customHeight="1" outlineLevel="1" x14ac:dyDescent="0.3">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hidden="1" customHeight="1" outlineLevel="1" x14ac:dyDescent="0.3">
      <c r="B116" s="1520"/>
      <c r="C116" s="1482"/>
      <c r="D116" s="1572"/>
      <c r="E116" s="84"/>
      <c r="F116" s="84"/>
      <c r="G116" s="84"/>
      <c r="H116" s="84"/>
      <c r="I116" s="84"/>
      <c r="J116" s="84"/>
      <c r="K116" s="232"/>
      <c r="L116" s="84"/>
      <c r="M116" s="84"/>
      <c r="N116" s="84"/>
      <c r="O116" s="84"/>
      <c r="P116" s="84"/>
      <c r="Q116" s="84"/>
      <c r="R116" s="1007"/>
    </row>
    <row r="117" spans="1:26" ht="15" hidden="1" customHeight="1" outlineLevel="1" x14ac:dyDescent="0.3">
      <c r="B117" s="1520" t="s">
        <v>1057</v>
      </c>
      <c r="C117" s="1482" t="s">
        <v>346</v>
      </c>
      <c r="D117" s="1565">
        <v>1.5</v>
      </c>
    </row>
    <row r="118" spans="1:26" ht="15" hidden="1" customHeight="1" outlineLevel="1" thickBot="1" x14ac:dyDescent="0.35">
      <c r="B118" s="1522" t="s">
        <v>1058</v>
      </c>
      <c r="C118" s="1508" t="s">
        <v>346</v>
      </c>
      <c r="D118" s="1570">
        <v>1.5</v>
      </c>
    </row>
    <row r="119" spans="1:26" ht="15" hidden="1" customHeight="1" outlineLevel="1" thickTop="1" x14ac:dyDescent="0.3"/>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4140625" defaultRowHeight="15" customHeight="1" outlineLevelRow="1" outlineLevelCol="1" x14ac:dyDescent="0.3"/>
  <cols>
    <col min="1" max="1" width="1" style="63" customWidth="1"/>
    <col min="2" max="2" width="65.6640625" style="65" customWidth="1"/>
    <col min="3" max="3" width="20.6640625" style="66" customWidth="1"/>
    <col min="4" max="4" width="18.33203125" style="65" customWidth="1"/>
    <col min="5" max="5" width="3.33203125" style="65" customWidth="1"/>
    <col min="6" max="7" width="30.6640625" style="65" customWidth="1"/>
    <col min="8" max="8" width="18.33203125" style="65" customWidth="1"/>
    <col min="9" max="9" width="3.44140625" style="65" customWidth="1"/>
    <col min="10" max="13" width="18.33203125" style="65" customWidth="1"/>
    <col min="14" max="14" width="5" style="65" customWidth="1"/>
    <col min="15" max="15" width="18.33203125" style="65" customWidth="1" outlineLevel="1"/>
    <col min="16" max="16" width="3.44140625" style="65" customWidth="1" outlineLevel="1"/>
    <col min="17" max="17" width="18.33203125" style="65" customWidth="1" outlineLevel="1"/>
    <col min="18" max="18" width="3.44140625" style="65" customWidth="1" outlineLevel="1"/>
    <col min="19" max="19" width="18.33203125" style="65" customWidth="1" outlineLevel="1"/>
    <col min="20" max="21" width="23.33203125" style="65" customWidth="1" outlineLevel="1"/>
    <col min="22" max="22" width="28.44140625" style="65" customWidth="1" outlineLevel="1"/>
    <col min="23" max="23" width="23.33203125" style="66" customWidth="1" outlineLevel="1"/>
    <col min="24" max="24" width="28.44140625" style="65" customWidth="1" outlineLevel="1"/>
    <col min="25" max="25" width="21.88671875" style="66" customWidth="1" outlineLevel="1"/>
    <col min="26" max="26" width="11.33203125" style="65" customWidth="1" outlineLevel="1"/>
    <col min="27" max="27" width="8.6640625" style="65" customWidth="1" outlineLevel="1"/>
    <col min="28" max="16384" width="14.44140625" style="63"/>
  </cols>
  <sheetData>
    <row r="1" spans="1:28" ht="4.95" customHeight="1" x14ac:dyDescent="0.3"/>
    <row r="2" spans="1:28" s="262" customFormat="1" ht="17.7" customHeight="1" x14ac:dyDescent="0.3">
      <c r="A2" s="467"/>
      <c r="B2" s="2282" t="s">
        <v>971</v>
      </c>
      <c r="C2" s="2282"/>
      <c r="D2" s="2282"/>
      <c r="E2" s="2282"/>
      <c r="F2" s="2282"/>
      <c r="G2" s="2282"/>
      <c r="H2" s="2282"/>
      <c r="I2" s="2282"/>
      <c r="J2" s="2282"/>
      <c r="K2" s="2282"/>
      <c r="L2" s="2282"/>
      <c r="M2" s="2282"/>
      <c r="N2" s="458"/>
      <c r="O2" s="2281" t="s">
        <v>644</v>
      </c>
      <c r="P2" s="2281"/>
      <c r="Q2" s="2281"/>
      <c r="R2" s="2281"/>
      <c r="S2" s="2281"/>
      <c r="T2" s="2281"/>
      <c r="U2" s="2281"/>
      <c r="V2" s="2281"/>
      <c r="W2" s="2281"/>
      <c r="X2" s="2281"/>
      <c r="Y2" s="2281"/>
      <c r="Z2" s="2281"/>
      <c r="AA2" s="2281"/>
      <c r="AB2" s="473"/>
    </row>
    <row r="3" spans="1:28" s="905" customFormat="1" ht="17.7" customHeight="1" x14ac:dyDescent="0.3">
      <c r="A3" s="903"/>
      <c r="B3" s="2282"/>
      <c r="C3" s="2282"/>
      <c r="D3" s="2282"/>
      <c r="E3" s="2282"/>
      <c r="F3" s="2282"/>
      <c r="G3" s="2282"/>
      <c r="H3" s="2282"/>
      <c r="I3" s="2282"/>
      <c r="J3" s="2282"/>
      <c r="K3" s="2282"/>
      <c r="L3" s="2282"/>
      <c r="M3" s="2282"/>
      <c r="N3" s="904"/>
      <c r="O3" s="2281"/>
      <c r="P3" s="2281"/>
      <c r="Q3" s="2281"/>
      <c r="R3" s="2281"/>
      <c r="S3" s="2281"/>
      <c r="T3" s="2281"/>
      <c r="U3" s="2281"/>
      <c r="V3" s="2281"/>
      <c r="W3" s="2281"/>
      <c r="X3" s="2281"/>
      <c r="Y3" s="2281"/>
      <c r="Z3" s="2281"/>
      <c r="AA3" s="2281"/>
      <c r="AB3" s="473"/>
    </row>
    <row r="4" spans="1:28" s="262" customFormat="1" ht="7.5" customHeight="1" thickBot="1" x14ac:dyDescent="0.35">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95" customHeight="1" collapsed="1" thickTop="1" x14ac:dyDescent="0.3">
      <c r="A5" s="458"/>
      <c r="B5" s="1501" t="s">
        <v>951</v>
      </c>
      <c r="C5" s="1502" t="s">
        <v>348</v>
      </c>
      <c r="D5" s="1503" t="s">
        <v>289</v>
      </c>
      <c r="E5" s="458"/>
      <c r="F5" s="1514" t="s">
        <v>952</v>
      </c>
      <c r="G5" s="1502" t="s">
        <v>349</v>
      </c>
      <c r="H5" s="1503" t="s">
        <v>350</v>
      </c>
      <c r="I5" s="458"/>
      <c r="J5" s="2336" t="s">
        <v>351</v>
      </c>
      <c r="K5" s="2334" t="s">
        <v>352</v>
      </c>
      <c r="L5" s="458"/>
      <c r="M5" s="459"/>
      <c r="N5" s="458"/>
      <c r="O5" s="2289" t="s">
        <v>877</v>
      </c>
      <c r="P5" s="458"/>
      <c r="Q5" s="2289" t="s">
        <v>878</v>
      </c>
      <c r="R5" s="458"/>
      <c r="S5" s="2289" t="s">
        <v>879</v>
      </c>
      <c r="T5" s="458"/>
      <c r="U5" s="2289" t="s">
        <v>880</v>
      </c>
      <c r="V5" s="458"/>
      <c r="W5" s="2289" t="s">
        <v>881</v>
      </c>
      <c r="X5" s="458"/>
      <c r="Y5" s="2289" t="s">
        <v>887</v>
      </c>
      <c r="Z5" s="458"/>
      <c r="AA5" s="458"/>
      <c r="AB5" s="473"/>
    </row>
    <row r="6" spans="1:28" s="262" customFormat="1" ht="19.95" hidden="1" customHeight="1" outlineLevel="1" x14ac:dyDescent="0.3">
      <c r="A6" s="458"/>
      <c r="B6" s="1685" t="s">
        <v>645</v>
      </c>
      <c r="C6" s="1646" t="s">
        <v>292</v>
      </c>
      <c r="D6" s="1661">
        <f>D7*D8/1000000</f>
        <v>19.859461629571207</v>
      </c>
      <c r="E6" s="463"/>
      <c r="F6" s="1681" t="s">
        <v>973</v>
      </c>
      <c r="G6" s="1633">
        <f>J7*(1-K7)</f>
        <v>109759.20000000001</v>
      </c>
      <c r="H6" s="1675">
        <f>G6/$G$11</f>
        <v>0.66654521075030615</v>
      </c>
      <c r="I6" s="458"/>
      <c r="J6" s="2337"/>
      <c r="K6" s="2335"/>
      <c r="L6" s="458"/>
      <c r="M6" s="468"/>
      <c r="N6" s="460"/>
      <c r="O6" s="2290"/>
      <c r="P6" s="458"/>
      <c r="Q6" s="2290"/>
      <c r="R6" s="458"/>
      <c r="S6" s="2290"/>
      <c r="T6" s="458"/>
      <c r="U6" s="2290"/>
      <c r="V6" s="458"/>
      <c r="W6" s="2290"/>
      <c r="X6" s="458"/>
      <c r="Y6" s="2290"/>
      <c r="Z6" s="458"/>
      <c r="AA6" s="458"/>
      <c r="AB6" s="473"/>
    </row>
    <row r="7" spans="1:28" s="262" customFormat="1" ht="19.95" hidden="1" customHeight="1" outlineLevel="1" x14ac:dyDescent="0.3">
      <c r="A7" s="458"/>
      <c r="B7" s="1681" t="s">
        <v>646</v>
      </c>
      <c r="C7" s="1644" t="s">
        <v>342</v>
      </c>
      <c r="D7" s="1662">
        <f>'R&amp;C-Painel de Controle'!H33</f>
        <v>254.60848243040007</v>
      </c>
      <c r="E7" s="463"/>
      <c r="F7" s="1681" t="s">
        <v>974</v>
      </c>
      <c r="G7" s="1633">
        <f>J7*K7</f>
        <v>27439.800000000003</v>
      </c>
      <c r="H7" s="1675">
        <f>G7/$G$11</f>
        <v>0.16663630268757654</v>
      </c>
      <c r="I7" s="458"/>
      <c r="J7" s="2293">
        <f>'R&amp;C-Painel de Controle'!D6/3</f>
        <v>137199</v>
      </c>
      <c r="K7" s="2291">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95" hidden="1" customHeight="1" outlineLevel="1" thickBot="1" x14ac:dyDescent="0.35">
      <c r="A8" s="458"/>
      <c r="B8" s="1681" t="s">
        <v>647</v>
      </c>
      <c r="C8" s="1644" t="s">
        <v>298</v>
      </c>
      <c r="D8" s="1662">
        <f>'R&amp;C-Painel de Controle'!D8</f>
        <v>78000</v>
      </c>
      <c r="E8" s="463"/>
      <c r="F8" s="1681" t="s">
        <v>975</v>
      </c>
      <c r="G8" s="1676">
        <f>J7/5</f>
        <v>27439.8</v>
      </c>
      <c r="H8" s="1675">
        <f>G8/$G$11</f>
        <v>0.16663630268757654</v>
      </c>
      <c r="I8" s="458"/>
      <c r="J8" s="2294"/>
      <c r="K8" s="2292"/>
      <c r="L8" s="458"/>
      <c r="M8" s="468"/>
      <c r="N8" s="460"/>
      <c r="O8" s="1500">
        <f>(O12-O10)/O10</f>
        <v>1.2145591636766743E-6</v>
      </c>
      <c r="P8" s="460"/>
      <c r="Q8" s="1500">
        <f>(Q12-Q10)/Q10</f>
        <v>-5.8327040398666562E-3</v>
      </c>
      <c r="R8" s="460"/>
      <c r="S8" s="1500">
        <f>(S12-S10)/S10</f>
        <v>-5.8327040398664671E-3</v>
      </c>
      <c r="T8" s="458"/>
      <c r="U8" s="1500">
        <f>(U12-U10)/U10</f>
        <v>2.2914268472023346E-2</v>
      </c>
      <c r="V8" s="458"/>
      <c r="W8" s="1500">
        <f>(W12-W10)/W10</f>
        <v>2.2914268472023346E-2</v>
      </c>
      <c r="X8" s="458"/>
      <c r="Y8" s="1628" t="s">
        <v>338</v>
      </c>
      <c r="Z8" s="458"/>
      <c r="AA8" s="458"/>
      <c r="AB8" s="473"/>
    </row>
    <row r="9" spans="1:28" s="262" customFormat="1" ht="19.95" hidden="1" customHeight="1" outlineLevel="1" thickTop="1" x14ac:dyDescent="0.3">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95" hidden="1" customHeight="1" outlineLevel="1" x14ac:dyDescent="0.3">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21.587483034614273</v>
      </c>
      <c r="R10" s="460"/>
      <c r="S10" s="265">
        <f>D8</f>
        <v>78000</v>
      </c>
      <c r="T10" s="458"/>
      <c r="U10" s="265">
        <f>D10*(1+D24)</f>
        <v>22967112.600000001</v>
      </c>
      <c r="V10" s="458"/>
      <c r="W10" s="265">
        <f>D10*(1+D24)</f>
        <v>22967112.600000001</v>
      </c>
      <c r="X10" s="458"/>
      <c r="Y10" s="1499">
        <f>Y7</f>
        <v>0.05</v>
      </c>
      <c r="Z10" s="458"/>
      <c r="AA10" s="458"/>
      <c r="AB10" s="473"/>
    </row>
    <row r="11" spans="1:28" s="262" customFormat="1" ht="19.95" hidden="1" customHeight="1" outlineLevel="1" thickBot="1" x14ac:dyDescent="0.35">
      <c r="A11" s="458"/>
      <c r="B11" s="1683" t="s">
        <v>721</v>
      </c>
      <c r="C11" s="1664" t="s">
        <v>357</v>
      </c>
      <c r="D11" s="1665">
        <f>D10/D8</f>
        <v>294.45016153846154</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95" hidden="1" customHeight="1" outlineLevel="1" thickTop="1" thickBot="1" x14ac:dyDescent="0.35">
      <c r="A12" s="458"/>
      <c r="B12" s="1686" t="s">
        <v>946</v>
      </c>
      <c r="C12" s="1666" t="s">
        <v>327</v>
      </c>
      <c r="D12" s="1667">
        <f>D7/D11</f>
        <v>0.86469126421974374</v>
      </c>
      <c r="E12" s="458"/>
      <c r="F12" s="458"/>
      <c r="G12" s="458"/>
      <c r="H12" s="459"/>
      <c r="I12" s="458"/>
      <c r="J12" s="459"/>
      <c r="K12" s="459"/>
      <c r="L12" s="459"/>
      <c r="M12" s="459"/>
      <c r="N12" s="458"/>
      <c r="O12" s="265">
        <f>O33</f>
        <v>164669</v>
      </c>
      <c r="P12" s="460"/>
      <c r="Q12" s="276">
        <f>Q33</f>
        <v>21.461569635107725</v>
      </c>
      <c r="R12" s="460"/>
      <c r="S12" s="265">
        <f>S33*(1+$D$17+$D$18+$D$19)</f>
        <v>77545.049084890416</v>
      </c>
      <c r="T12" s="458"/>
      <c r="U12" s="265">
        <f>U33</f>
        <v>23493387.184143592</v>
      </c>
      <c r="V12" s="458"/>
      <c r="W12" s="265">
        <f>W33</f>
        <v>23493387.184143592</v>
      </c>
      <c r="X12" s="458"/>
      <c r="Y12" s="1497">
        <f>1-((AA39+AA41+AA42+AA43+AA44+AA45+AA52+AA54+AA55+AA56+AA57+AA58+AA65+AA67+AA68+AA69+AA70+AA71+AA78+AA80+AA81+AA82+AA83+AA84+AA91+AA93+AA94+AA95+AA96)/29)</f>
        <v>0</v>
      </c>
      <c r="Z12" s="458"/>
      <c r="AA12" s="458"/>
      <c r="AB12" s="473"/>
    </row>
    <row r="13" spans="1:28" s="262" customFormat="1" ht="10.199999999999999" hidden="1" customHeight="1" outlineLevel="1" thickTop="1" thickBot="1" x14ac:dyDescent="0.35">
      <c r="A13" s="458"/>
      <c r="B13" s="458"/>
      <c r="C13" s="459"/>
      <c r="D13" s="458"/>
      <c r="E13" s="463"/>
      <c r="F13" s="465"/>
      <c r="G13" s="465"/>
      <c r="H13" s="466"/>
      <c r="I13" s="464"/>
      <c r="J13" s="464"/>
      <c r="K13" s="468"/>
      <c r="L13" s="468"/>
      <c r="M13" s="468"/>
      <c r="N13" s="460"/>
      <c r="P13" s="460"/>
      <c r="AA13" s="458"/>
      <c r="AB13" s="473"/>
    </row>
    <row r="14" spans="1:28" s="262" customFormat="1" ht="19.95" hidden="1" customHeight="1" outlineLevel="1" thickTop="1" x14ac:dyDescent="0.3">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95" hidden="1" customHeight="1" outlineLevel="1" x14ac:dyDescent="0.3">
      <c r="A15" s="458"/>
      <c r="B15" s="1687" t="s">
        <v>649</v>
      </c>
      <c r="C15" s="1646" t="s">
        <v>195</v>
      </c>
      <c r="D15" s="1668">
        <v>1</v>
      </c>
      <c r="E15" s="458"/>
      <c r="F15" s="2283" t="s">
        <v>978</v>
      </c>
      <c r="G15" s="2285" t="s">
        <v>195</v>
      </c>
      <c r="H15" s="2287">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95" hidden="1" customHeight="1" outlineLevel="1" thickBot="1" x14ac:dyDescent="0.35">
      <c r="A16" s="458"/>
      <c r="B16" s="1688" t="s">
        <v>981</v>
      </c>
      <c r="C16" s="1644" t="s">
        <v>292</v>
      </c>
      <c r="D16" s="1669">
        <f>D10*D12*(1-D15)/1000000</f>
        <v>0</v>
      </c>
      <c r="E16" s="458"/>
      <c r="F16" s="2284"/>
      <c r="G16" s="2286"/>
      <c r="H16" s="2288"/>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95" hidden="1" customHeight="1" outlineLevel="1" thickTop="1" x14ac:dyDescent="0.3">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95" hidden="1" customHeight="1" outlineLevel="1" x14ac:dyDescent="0.3">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95" hidden="1" customHeight="1" outlineLevel="1" x14ac:dyDescent="0.3">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50000000000003" hidden="1" customHeight="1" outlineLevel="1" x14ac:dyDescent="0.3">
      <c r="A20" s="458"/>
      <c r="B20" s="1687" t="s">
        <v>948</v>
      </c>
      <c r="C20" s="1646" t="s">
        <v>292</v>
      </c>
      <c r="D20" s="1673">
        <f>D10*D12*(1+D17)*(1+D18)*(1+D19)*D15/1000000</f>
        <v>21.587483034614273</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50000000000003" hidden="1" customHeight="1" outlineLevel="1" thickBot="1" x14ac:dyDescent="0.35">
      <c r="A21" s="458"/>
      <c r="B21" s="1684" t="s">
        <v>947</v>
      </c>
      <c r="C21" s="1666" t="s">
        <v>327</v>
      </c>
      <c r="D21" s="1667">
        <f>D20*1000000/D10</f>
        <v>0.9399302128476642</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hidden="1" customHeight="1" outlineLevel="1" thickTop="1" thickBot="1" x14ac:dyDescent="0.35">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95" hidden="1" customHeight="1" outlineLevel="1" thickTop="1" x14ac:dyDescent="0.3">
      <c r="A23" s="458"/>
      <c r="B23" s="1509" t="s">
        <v>950</v>
      </c>
      <c r="C23" s="1510" t="s">
        <v>348</v>
      </c>
      <c r="D23" s="1511" t="s">
        <v>289</v>
      </c>
      <c r="E23" s="458"/>
      <c r="F23" s="2325" t="s">
        <v>941</v>
      </c>
      <c r="G23" s="2326"/>
      <c r="H23" s="2327"/>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95" hidden="1" customHeight="1" outlineLevel="1" x14ac:dyDescent="0.3">
      <c r="A24" s="458"/>
      <c r="B24" s="1687" t="s">
        <v>949</v>
      </c>
      <c r="C24" s="1646" t="s">
        <v>195</v>
      </c>
      <c r="D24" s="1674">
        <v>0</v>
      </c>
      <c r="E24" s="458"/>
      <c r="F24" s="1683" t="s">
        <v>979</v>
      </c>
      <c r="G24" s="1644" t="s">
        <v>358</v>
      </c>
      <c r="H24" s="1679">
        <f>D26*(D10)/G11</f>
        <v>131.09637669439672</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50000000000003" hidden="1" customHeight="1" outlineLevel="1" thickBot="1" x14ac:dyDescent="0.35">
      <c r="A25" s="458"/>
      <c r="B25" s="1683" t="s">
        <v>982</v>
      </c>
      <c r="C25" s="1644" t="s">
        <v>292</v>
      </c>
      <c r="D25" s="1669">
        <f>D20</f>
        <v>21.587483034614273</v>
      </c>
      <c r="E25" s="458"/>
      <c r="F25" s="1684" t="s">
        <v>980</v>
      </c>
      <c r="G25" s="1666" t="s">
        <v>359</v>
      </c>
      <c r="H25" s="1680">
        <f>H24/12</f>
        <v>10.924698057866394</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50000000000003" hidden="1" customHeight="1" outlineLevel="1" thickTop="1" thickBot="1" x14ac:dyDescent="0.35">
      <c r="A26" s="458"/>
      <c r="B26" s="1684" t="s">
        <v>983</v>
      </c>
      <c r="C26" s="1666" t="s">
        <v>327</v>
      </c>
      <c r="D26" s="1667">
        <f>(D25*1000000/(D8*D11))*(1-D24)</f>
        <v>0.9399302128476642</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2" customHeight="1" x14ac:dyDescent="0.3">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2" customHeight="1" x14ac:dyDescent="0.3">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2" customHeight="1" x14ac:dyDescent="0.3">
      <c r="A29" s="458"/>
      <c r="B29" s="2316" t="s">
        <v>964</v>
      </c>
      <c r="C29" s="2317"/>
      <c r="D29" s="2317"/>
      <c r="E29" s="2318"/>
      <c r="F29" s="458"/>
      <c r="G29" s="458"/>
      <c r="H29" s="459"/>
      <c r="I29" s="458"/>
      <c r="J29" s="459"/>
      <c r="K29" s="2297" t="s">
        <v>360</v>
      </c>
      <c r="L29" s="2298"/>
      <c r="M29" s="2299"/>
      <c r="N29" s="458"/>
      <c r="O29" s="2321" t="s">
        <v>763</v>
      </c>
      <c r="P29" s="2322"/>
      <c r="Q29" s="2322"/>
      <c r="R29" s="2322"/>
      <c r="S29" s="2322"/>
      <c r="T29" s="2322"/>
      <c r="U29" s="2322"/>
      <c r="V29" s="2322"/>
      <c r="W29" s="2322"/>
      <c r="X29" s="2322"/>
      <c r="Y29" s="2322"/>
      <c r="Z29" s="2322"/>
      <c r="AA29" s="458"/>
      <c r="AB29" s="473"/>
    </row>
    <row r="30" spans="1:28" s="262" customFormat="1" ht="4.95" customHeight="1" x14ac:dyDescent="0.3">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95" customHeight="1" x14ac:dyDescent="0.3">
      <c r="A31" s="458"/>
      <c r="B31" s="2339" t="s">
        <v>965</v>
      </c>
      <c r="C31" s="2340"/>
      <c r="D31" s="2340"/>
      <c r="E31" s="2340"/>
      <c r="F31" s="2340"/>
      <c r="G31" s="2340"/>
      <c r="H31" s="2340"/>
      <c r="I31" s="2340"/>
      <c r="J31" s="2340"/>
      <c r="K31" s="2340"/>
      <c r="L31" s="1634" t="s">
        <v>361</v>
      </c>
      <c r="M31" s="1634" t="s">
        <v>362</v>
      </c>
      <c r="N31" s="458"/>
      <c r="O31" s="2295" t="s">
        <v>650</v>
      </c>
      <c r="P31" s="458"/>
      <c r="Q31" s="2295" t="s">
        <v>363</v>
      </c>
      <c r="R31" s="458"/>
      <c r="S31" s="2295" t="s">
        <v>651</v>
      </c>
      <c r="T31" s="458"/>
      <c r="U31" s="2295" t="s">
        <v>652</v>
      </c>
      <c r="V31" s="458"/>
      <c r="W31" s="2295" t="s">
        <v>652</v>
      </c>
      <c r="X31" s="458"/>
      <c r="Y31" s="2295" t="s">
        <v>463</v>
      </c>
      <c r="Z31" s="458"/>
      <c r="AA31" s="458"/>
      <c r="AB31" s="473"/>
    </row>
    <row r="32" spans="1:28" s="262" customFormat="1" ht="19.95" customHeight="1" x14ac:dyDescent="0.3">
      <c r="A32" s="458"/>
      <c r="B32" s="2341"/>
      <c r="C32" s="2340"/>
      <c r="D32" s="2340"/>
      <c r="E32" s="2340"/>
      <c r="F32" s="2340"/>
      <c r="G32" s="2340"/>
      <c r="H32" s="2340"/>
      <c r="I32" s="2340"/>
      <c r="J32" s="2340"/>
      <c r="K32" s="2340"/>
      <c r="L32" s="1635">
        <f>H24</f>
        <v>131.09637669439672</v>
      </c>
      <c r="M32" s="1636">
        <f>H25</f>
        <v>10.924698057866394</v>
      </c>
      <c r="N32" s="461"/>
      <c r="O32" s="2178"/>
      <c r="P32" s="461"/>
      <c r="Q32" s="2178"/>
      <c r="R32" s="461"/>
      <c r="S32" s="2178"/>
      <c r="T32" s="458"/>
      <c r="U32" s="2178"/>
      <c r="V32" s="458"/>
      <c r="W32" s="2178"/>
      <c r="X32" s="458"/>
      <c r="Y32" s="2296"/>
      <c r="Z32" s="458"/>
      <c r="AA32" s="458"/>
      <c r="AB32" s="473"/>
    </row>
    <row r="33" spans="1:28" s="262" customFormat="1" ht="15" customHeight="1" collapsed="1" x14ac:dyDescent="0.3">
      <c r="A33" s="458"/>
      <c r="B33" s="458"/>
      <c r="C33" s="459"/>
      <c r="D33" s="458"/>
      <c r="E33" s="458"/>
      <c r="F33" s="458"/>
      <c r="G33" s="458"/>
      <c r="H33" s="459"/>
      <c r="I33" s="458"/>
      <c r="J33" s="459"/>
      <c r="K33" s="459"/>
      <c r="L33" s="459"/>
      <c r="M33" s="459"/>
      <c r="N33" s="458"/>
      <c r="O33" s="265">
        <f>O36+O49+O62+O75+O88</f>
        <v>164669</v>
      </c>
      <c r="P33" s="458"/>
      <c r="Q33" s="265">
        <f>(Q36+Q49+Q62+Q75+Q88)*12/1000000</f>
        <v>21.461569635107725</v>
      </c>
      <c r="R33" s="458"/>
      <c r="S33" s="265">
        <f>12*S34</f>
        <v>71470.091322479653</v>
      </c>
      <c r="T33" s="458" t="s">
        <v>364</v>
      </c>
      <c r="U33" s="265">
        <f>12*U34</f>
        <v>23493387.184143592</v>
      </c>
      <c r="V33" s="458" t="s">
        <v>365</v>
      </c>
      <c r="W33" s="265">
        <f>12*W34</f>
        <v>23493387.184143592</v>
      </c>
      <c r="X33" s="458" t="s">
        <v>365</v>
      </c>
      <c r="Y33" s="2323">
        <v>0.1</v>
      </c>
      <c r="Z33" s="458"/>
      <c r="AA33" s="458"/>
      <c r="AB33" s="473"/>
    </row>
    <row r="34" spans="1:28" s="262" customFormat="1" ht="34.950000000000003" hidden="1" customHeight="1" outlineLevel="1" x14ac:dyDescent="0.3">
      <c r="A34" s="458"/>
      <c r="B34" s="2319" t="s">
        <v>366</v>
      </c>
      <c r="C34" s="2320"/>
      <c r="D34" s="2320"/>
      <c r="E34" s="2320"/>
      <c r="F34" s="2320"/>
      <c r="G34" s="2320"/>
      <c r="H34" s="2320"/>
      <c r="I34" s="2320"/>
      <c r="J34" s="2320"/>
      <c r="K34" s="2320"/>
      <c r="L34" s="2320"/>
      <c r="M34" s="2320"/>
      <c r="N34" s="461"/>
      <c r="O34" s="883"/>
      <c r="P34" s="461"/>
      <c r="Q34" s="883"/>
      <c r="R34" s="461"/>
      <c r="S34" s="265">
        <f>S36+S49+S62+S75+S88</f>
        <v>5955.8409435399708</v>
      </c>
      <c r="T34" s="458" t="s">
        <v>367</v>
      </c>
      <c r="U34" s="265">
        <f>U36+U49+U62+U75+U88</f>
        <v>1957782.2653452994</v>
      </c>
      <c r="V34" s="458" t="s">
        <v>368</v>
      </c>
      <c r="W34" s="265">
        <f>W36+W49+W62+W75+W88</f>
        <v>1957782.2653452994</v>
      </c>
      <c r="X34" s="458" t="s">
        <v>368</v>
      </c>
      <c r="Y34" s="2324"/>
      <c r="Z34" s="458"/>
      <c r="AA34" s="458"/>
      <c r="AB34" s="473"/>
    </row>
    <row r="35" spans="1:28" s="262" customFormat="1" ht="25.2" hidden="1" customHeight="1" outlineLevel="1" x14ac:dyDescent="0.3">
      <c r="A35" s="458"/>
      <c r="B35" s="2305" t="s">
        <v>369</v>
      </c>
      <c r="C35" s="2312"/>
      <c r="D35" s="2312"/>
      <c r="E35" s="2313"/>
      <c r="F35" s="2312"/>
      <c r="G35" s="2312"/>
      <c r="H35" s="2312"/>
      <c r="I35" s="2313"/>
      <c r="J35" s="2312"/>
      <c r="K35" s="2312"/>
      <c r="L35" s="2312"/>
      <c r="M35" s="2312"/>
      <c r="N35" s="461"/>
      <c r="O35" s="885">
        <f>G9</f>
        <v>25</v>
      </c>
      <c r="P35" s="884"/>
      <c r="Q35" s="888"/>
      <c r="R35" s="461"/>
      <c r="S35" s="883"/>
      <c r="T35" s="458"/>
      <c r="U35" s="892"/>
      <c r="V35" s="458"/>
      <c r="W35" s="892"/>
      <c r="X35" s="458"/>
      <c r="Y35" s="283"/>
      <c r="Z35" s="458"/>
      <c r="AA35" s="458"/>
      <c r="AB35" s="473"/>
    </row>
    <row r="36" spans="1:28" s="262" customFormat="1" ht="36" hidden="1" customHeight="1" outlineLevel="1" x14ac:dyDescent="0.3">
      <c r="A36" s="458"/>
      <c r="B36" s="2305" t="s">
        <v>370</v>
      </c>
      <c r="C36" s="2305" t="s">
        <v>371</v>
      </c>
      <c r="D36" s="2307"/>
      <c r="E36" s="1515"/>
      <c r="F36" s="2328" t="s">
        <v>372</v>
      </c>
      <c r="G36" s="2312"/>
      <c r="H36" s="2329"/>
      <c r="I36" s="881"/>
      <c r="J36" s="2308" t="s">
        <v>970</v>
      </c>
      <c r="K36" s="2309"/>
      <c r="L36" s="2309"/>
      <c r="M36" s="2309"/>
      <c r="N36" s="458"/>
      <c r="O36" s="265">
        <f>O39+O41+O42+O43+O44+O45</f>
        <v>25</v>
      </c>
      <c r="P36" s="467"/>
      <c r="Q36" s="889">
        <f>Q39+Q41+Q42+Q43+Q44+Q45</f>
        <v>255.02342028831865</v>
      </c>
      <c r="R36" s="458"/>
      <c r="S36" s="2310">
        <f>IF(AND(Q36&lt;&gt;0,O36&lt;&gt;0),Q36/(1+$D$17+$D$18+$D$19)/(($D$25*1000000/$D$8)),0)</f>
        <v>0.84926440364182398</v>
      </c>
      <c r="T36" s="2314" t="s">
        <v>373</v>
      </c>
      <c r="U36" s="2310">
        <f>U39+U41+U42+U43+U44+U45</f>
        <v>250.06604084120031</v>
      </c>
      <c r="V36" s="467" t="s">
        <v>374</v>
      </c>
      <c r="W36" s="2310">
        <f>W39*O39+W41*O41+W42*O42+W43*O43+W44*O44+W45*O45</f>
        <v>250.06604084120031</v>
      </c>
      <c r="X36" s="467" t="s">
        <v>374</v>
      </c>
      <c r="Y36" s="865" t="s">
        <v>375</v>
      </c>
      <c r="Z36" s="458"/>
      <c r="AA36" s="458"/>
      <c r="AB36" s="473"/>
    </row>
    <row r="37" spans="1:28" s="262" customFormat="1" ht="24" hidden="1" customHeight="1" outlineLevel="1" x14ac:dyDescent="0.3">
      <c r="A37" s="458"/>
      <c r="B37" s="2306"/>
      <c r="C37" s="1637" t="s">
        <v>376</v>
      </c>
      <c r="D37" s="1638" t="s">
        <v>377</v>
      </c>
      <c r="E37" s="1516"/>
      <c r="F37" s="2330"/>
      <c r="G37" s="2312"/>
      <c r="H37" s="2329"/>
      <c r="I37" s="882"/>
      <c r="J37" s="2331" t="s">
        <v>378</v>
      </c>
      <c r="K37" s="2332"/>
      <c r="L37" s="2333" t="s">
        <v>379</v>
      </c>
      <c r="M37" s="2332"/>
      <c r="N37" s="458"/>
      <c r="O37" s="886" t="s">
        <v>380</v>
      </c>
      <c r="P37" s="467"/>
      <c r="Q37" s="890">
        <v>0.5</v>
      </c>
      <c r="R37" s="458"/>
      <c r="S37" s="2311"/>
      <c r="T37" s="2315"/>
      <c r="U37" s="2311"/>
      <c r="V37" s="467"/>
      <c r="W37" s="2338"/>
      <c r="X37" s="467"/>
      <c r="Y37" s="893">
        <f>$Y$33</f>
        <v>0.1</v>
      </c>
      <c r="Z37" s="458"/>
      <c r="AA37" s="458"/>
      <c r="AB37" s="473"/>
    </row>
    <row r="38" spans="1:28" s="262" customFormat="1" ht="24" hidden="1" customHeight="1" outlineLevel="1" x14ac:dyDescent="0.3">
      <c r="A38" s="458"/>
      <c r="B38" s="2300">
        <v>1</v>
      </c>
      <c r="C38" s="2300">
        <v>1</v>
      </c>
      <c r="D38" s="2303">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hidden="1" customHeight="1" outlineLevel="1" x14ac:dyDescent="0.3">
      <c r="A39" s="458"/>
      <c r="B39" s="2301"/>
      <c r="C39" s="2302"/>
      <c r="D39" s="2304"/>
      <c r="E39" s="882"/>
      <c r="F39" s="1694" t="s">
        <v>338</v>
      </c>
      <c r="G39" s="1695">
        <v>5</v>
      </c>
      <c r="H39" s="1696">
        <v>0.35</v>
      </c>
      <c r="I39" s="1516"/>
      <c r="J39" s="1697">
        <f>$L$32*H39*$B$38*$C$38</f>
        <v>45.883731843038852</v>
      </c>
      <c r="K39" s="1698">
        <f>$M$32*H39*$B$38*$C$38</f>
        <v>3.8236443202532375</v>
      </c>
      <c r="L39" s="1697">
        <f>J39*$D$38</f>
        <v>57.354664803798563</v>
      </c>
      <c r="M39" s="1698">
        <f>K39*$D$38</f>
        <v>4.7795554003165472</v>
      </c>
      <c r="N39" s="458"/>
      <c r="O39" s="887">
        <v>5</v>
      </c>
      <c r="P39" s="467"/>
      <c r="Q39" s="286">
        <f>O39*$Q$37*M39+O39*(1-$Q$37)*K39</f>
        <v>21.507999301424462</v>
      </c>
      <c r="R39" s="458"/>
      <c r="S39" s="891">
        <f>IF(AND(Q39&lt;&gt;0,O39&lt;&gt;0),Q39/(1+$D$17+$D$18+$D$19)/O39/30/(($D$25*1000000/$D$8))*1000,0)</f>
        <v>0.47749805827251152</v>
      </c>
      <c r="T39" s="467" t="s">
        <v>382</v>
      </c>
      <c r="U39" s="870">
        <f>S39*O39*30*$D$11*(1+$D$24)/1000</f>
        <v>21.089907058896408</v>
      </c>
      <c r="V39" s="467" t="s">
        <v>383</v>
      </c>
      <c r="W39" s="870">
        <f>IF(O39&lt;&gt;0,U39/O39,0)</f>
        <v>4.2179814117792818</v>
      </c>
      <c r="X39" s="467" t="s">
        <v>384</v>
      </c>
      <c r="Y39" s="287" t="str">
        <f>IF(O39=0,"-", IF(W39&lt;=(G39*(1+$Y$37)),"OK", "NOK"))</f>
        <v>OK</v>
      </c>
      <c r="Z39" s="897"/>
      <c r="AA39" s="898">
        <f>IF(OR(Y39="OK",Y39="-"),1,0)</f>
        <v>1</v>
      </c>
      <c r="AB39" s="473"/>
    </row>
    <row r="40" spans="1:28" s="262" customFormat="1" ht="24" hidden="1" customHeight="1" outlineLevel="1" x14ac:dyDescent="0.3">
      <c r="A40" s="458"/>
      <c r="B40" s="2301"/>
      <c r="C40" s="2302"/>
      <c r="D40" s="2304"/>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hidden="1" customHeight="1" outlineLevel="1" x14ac:dyDescent="0.3">
      <c r="A41" s="458"/>
      <c r="B41" s="2301"/>
      <c r="C41" s="2302"/>
      <c r="D41" s="2304"/>
      <c r="E41" s="882"/>
      <c r="F41" s="1694">
        <f>G39</f>
        <v>5</v>
      </c>
      <c r="G41" s="1695">
        <v>15</v>
      </c>
      <c r="H41" s="1696">
        <v>0.06</v>
      </c>
      <c r="I41" s="1516"/>
      <c r="J41" s="1697">
        <f>$L$32*(H39+(G41-F41)*H41)*$B$38*$C$38</f>
        <v>124.54155785967689</v>
      </c>
      <c r="K41" s="1698">
        <f>$M$32*(H39+(G41-F41)*H41)*$B$38*$C$38</f>
        <v>10.378463154973074</v>
      </c>
      <c r="L41" s="1697">
        <f t="shared" ref="L41:M45" si="0">J41*$D$38</f>
        <v>155.67694732459611</v>
      </c>
      <c r="M41" s="1698">
        <f t="shared" si="0"/>
        <v>12.973078943716343</v>
      </c>
      <c r="N41" s="458"/>
      <c r="O41" s="887">
        <v>20</v>
      </c>
      <c r="P41" s="467"/>
      <c r="Q41" s="286">
        <f>O41*$Q$37*M41+O41*(1-$Q$37)*K41</f>
        <v>233.51542098689418</v>
      </c>
      <c r="R41" s="458"/>
      <c r="S41" s="891">
        <f>IF(AND(Q41&lt;&gt;0,O41&lt;&gt;0),Q41/(1+$D$17+$D$18+$D$19)/O41/30/(($D$25*1000000/$D$8))*1000,0)</f>
        <v>1.2960661581682456</v>
      </c>
      <c r="T41" s="467" t="s">
        <v>382</v>
      </c>
      <c r="U41" s="870">
        <f>S41*O41*30*$D$11*(1+$D$24)/1000</f>
        <v>228.97613378230389</v>
      </c>
      <c r="V41" s="467" t="s">
        <v>383</v>
      </c>
      <c r="W41" s="870">
        <f>IF(O41&lt;&gt;0,U41/O41,0)</f>
        <v>11.448806689115195</v>
      </c>
      <c r="X41" s="467" t="s">
        <v>384</v>
      </c>
      <c r="Y41" s="265" t="str">
        <f>IF(O41=0,"-",IF(AND(((F41*(1-$Y$37))&lt;W41),(W41&lt;(G41*(1+$Y$37)))),"OK", "NOK"))</f>
        <v>OK</v>
      </c>
      <c r="Z41" s="897"/>
      <c r="AA41" s="898">
        <f>IF(OR(Y41="OK",Y41="-"),1,0)</f>
        <v>1</v>
      </c>
      <c r="AB41" s="473"/>
    </row>
    <row r="42" spans="1:28" s="262" customFormat="1" ht="24" hidden="1" customHeight="1" outlineLevel="1" x14ac:dyDescent="0.3">
      <c r="A42" s="458"/>
      <c r="B42" s="2301"/>
      <c r="C42" s="2302"/>
      <c r="D42" s="2304"/>
      <c r="E42" s="882"/>
      <c r="F42" s="1694">
        <f>G41</f>
        <v>15</v>
      </c>
      <c r="G42" s="1695">
        <v>25</v>
      </c>
      <c r="H42" s="1696">
        <v>0.05</v>
      </c>
      <c r="I42" s="1516"/>
      <c r="J42" s="1697">
        <f>$L$32*(H39+(G41-F41)*H41+(G42-F42)*H42)*$B$38*$C$38</f>
        <v>190.08974620687525</v>
      </c>
      <c r="K42" s="1698">
        <f>$M$32*(H39+(G41-F41)*H41+(G42-F42)*H42)*$B$38*$C$38</f>
        <v>15.840812183906271</v>
      </c>
      <c r="L42" s="1697">
        <f t="shared" si="0"/>
        <v>237.61218275859406</v>
      </c>
      <c r="M42" s="1698">
        <f t="shared" si="0"/>
        <v>19.801015229882839</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hidden="1" customHeight="1" outlineLevel="1" x14ac:dyDescent="0.3">
      <c r="A43" s="458"/>
      <c r="B43" s="2301"/>
      <c r="C43" s="2302"/>
      <c r="D43" s="2304"/>
      <c r="E43" s="882"/>
      <c r="F43" s="1694">
        <f>G42</f>
        <v>25</v>
      </c>
      <c r="G43" s="1695">
        <v>35</v>
      </c>
      <c r="H43" s="1696">
        <v>3.5000000000000003E-2</v>
      </c>
      <c r="I43" s="1516"/>
      <c r="J43" s="1697">
        <f>$L$32*(H39+(G41-F41)*H41+(G42-F42)*H42+(G43-F43)*H43)*$B$38*$C$38</f>
        <v>235.97347804991412</v>
      </c>
      <c r="K43" s="1698">
        <f>$M$32*(H39+(G41-F41)*H41+(G42-F42)*H42+(G43-F43)*H43)*$B$38*$C$38</f>
        <v>19.66445650415951</v>
      </c>
      <c r="L43" s="1697">
        <f t="shared" si="0"/>
        <v>294.96684756239267</v>
      </c>
      <c r="M43" s="1698">
        <f t="shared" si="0"/>
        <v>24.580570630199389</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hidden="1" customHeight="1" outlineLevel="1" x14ac:dyDescent="0.3">
      <c r="A44" s="458"/>
      <c r="B44" s="2301"/>
      <c r="C44" s="2302"/>
      <c r="D44" s="2304"/>
      <c r="E44" s="882"/>
      <c r="F44" s="1694">
        <f>G43</f>
        <v>35</v>
      </c>
      <c r="G44" s="1695">
        <v>50</v>
      </c>
      <c r="H44" s="1696">
        <f>0.03</f>
        <v>0.03</v>
      </c>
      <c r="I44" s="1516"/>
      <c r="J44" s="1697">
        <f>$L$32*(H39+(G41-F41)*H41+(G42-F42)*H42+(G43-F43)*H43+(G44-F44)*H44)*$B$38*$C$38</f>
        <v>294.96684756239262</v>
      </c>
      <c r="K44" s="1698">
        <f>$M$32*(H39+(G41-F41)*H41+(G42-F42)*H42+(G43-F43)*H43+(G44-F44)*H44)*$B$38*$C$38</f>
        <v>24.580570630199386</v>
      </c>
      <c r="L44" s="1697">
        <f t="shared" si="0"/>
        <v>368.70855945299076</v>
      </c>
      <c r="M44" s="1698">
        <f t="shared" si="0"/>
        <v>30.725713287749233</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hidden="1" customHeight="1" outlineLevel="1" x14ac:dyDescent="0.3">
      <c r="A45" s="458"/>
      <c r="B45" s="2301"/>
      <c r="C45" s="2302"/>
      <c r="D45" s="2304"/>
      <c r="E45" s="882"/>
      <c r="F45" s="1694">
        <f>G44</f>
        <v>50</v>
      </c>
      <c r="G45" s="1695">
        <v>100</v>
      </c>
      <c r="H45" s="1696">
        <v>2.5000000000000001E-2</v>
      </c>
      <c r="I45" s="1516"/>
      <c r="J45" s="1697">
        <f>$L$32*(H39+(G41-F41)*H41+(G42-F42)*H42+(G43-F43)*H43+(G44-F44)*H44+(G45-F45)*H45)*$B$38*$C$38</f>
        <v>458.83731843038856</v>
      </c>
      <c r="K45" s="1698">
        <f>$M$32*(H39+(G41-F41)*H41+(G42-F42)*H42+(G43-F43)*H43+(G44-F44)*H44+(G45-F45)*H45)*$B$38*$C$38</f>
        <v>38.236443202532378</v>
      </c>
      <c r="L45" s="1697">
        <f t="shared" si="0"/>
        <v>573.54664803798573</v>
      </c>
      <c r="M45" s="1698">
        <f t="shared" si="0"/>
        <v>47.795554003165471</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99999999999999" hidden="1" customHeight="1" outlineLevel="1" x14ac:dyDescent="0.3">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50000000000003" hidden="1" customHeight="1" outlineLevel="1" x14ac:dyDescent="0.3">
      <c r="A47" s="458"/>
      <c r="B47" s="2319" t="s">
        <v>385</v>
      </c>
      <c r="C47" s="2320"/>
      <c r="D47" s="2320"/>
      <c r="E47" s="2320"/>
      <c r="F47" s="2320"/>
      <c r="G47" s="2320"/>
      <c r="H47" s="2320"/>
      <c r="I47" s="2320"/>
      <c r="J47" s="2320"/>
      <c r="K47" s="2320"/>
      <c r="L47" s="2320"/>
      <c r="M47" s="2320"/>
      <c r="N47" s="461"/>
      <c r="O47" s="458"/>
      <c r="P47" s="461"/>
      <c r="Q47" s="458"/>
      <c r="R47" s="461"/>
      <c r="S47" s="458"/>
      <c r="T47" s="458"/>
      <c r="U47" s="458"/>
      <c r="V47" s="458"/>
      <c r="W47" s="459"/>
      <c r="X47" s="458"/>
      <c r="Y47" s="459"/>
      <c r="Z47" s="458"/>
      <c r="AA47" s="458"/>
      <c r="AB47" s="473"/>
    </row>
    <row r="48" spans="1:28" s="1656" customFormat="1" ht="25.2" hidden="1" customHeight="1" outlineLevel="1" x14ac:dyDescent="0.55000000000000004">
      <c r="A48" s="1649"/>
      <c r="B48" s="2305" t="s">
        <v>369</v>
      </c>
      <c r="C48" s="2312"/>
      <c r="D48" s="2312"/>
      <c r="E48" s="2313"/>
      <c r="F48" s="2312"/>
      <c r="G48" s="2312"/>
      <c r="H48" s="2312"/>
      <c r="I48" s="2313"/>
      <c r="J48" s="2312"/>
      <c r="K48" s="2312"/>
      <c r="L48" s="2312"/>
      <c r="M48" s="2312"/>
      <c r="N48" s="1650"/>
      <c r="O48" s="1651">
        <f>G6</f>
        <v>109759.20000000001</v>
      </c>
      <c r="P48" s="1652"/>
      <c r="Q48" s="1653"/>
      <c r="R48" s="1650"/>
      <c r="S48" s="1653"/>
      <c r="T48" s="1649"/>
      <c r="U48" s="1649"/>
      <c r="V48" s="1649"/>
      <c r="W48" s="1654"/>
      <c r="X48" s="1649"/>
      <c r="Y48" s="1654"/>
      <c r="Z48" s="1649"/>
      <c r="AA48" s="1649"/>
      <c r="AB48" s="1655"/>
    </row>
    <row r="49" spans="1:28" s="262" customFormat="1" ht="43.95" hidden="1" customHeight="1" outlineLevel="1" x14ac:dyDescent="0.3">
      <c r="A49" s="458"/>
      <c r="B49" s="2305" t="s">
        <v>370</v>
      </c>
      <c r="C49" s="2305" t="s">
        <v>371</v>
      </c>
      <c r="D49" s="2307"/>
      <c r="E49" s="1515"/>
      <c r="F49" s="2328" t="s">
        <v>372</v>
      </c>
      <c r="G49" s="2312"/>
      <c r="H49" s="2329"/>
      <c r="I49" s="881"/>
      <c r="J49" s="2308" t="s">
        <v>970</v>
      </c>
      <c r="K49" s="2309"/>
      <c r="L49" s="2309"/>
      <c r="M49" s="2309"/>
      <c r="N49" s="458"/>
      <c r="O49" s="265">
        <f>O52+O54+O55+O56+O57+O58</f>
        <v>109759</v>
      </c>
      <c r="P49" s="467"/>
      <c r="Q49" s="895">
        <f>Q52+Q54+Q55+Q56+Q57+Q58</f>
        <v>983242.79692161246</v>
      </c>
      <c r="R49" s="458"/>
      <c r="S49" s="2349">
        <f>IF(AND(Q49&lt;&gt;0,O49&lt;&gt;0),Q49/(1+$D$17+$D$18+$D$19)/(($D$25*1000000/$D$8)),0)</f>
        <v>3274.3389082410522</v>
      </c>
      <c r="T49" s="2314" t="s">
        <v>373</v>
      </c>
      <c r="U49" s="2310">
        <f>U52+U54+U55+U56+U57+U58</f>
        <v>964129.62046324764</v>
      </c>
      <c r="V49" s="467" t="s">
        <v>374</v>
      </c>
      <c r="W49" s="2347">
        <f>W52*O52+W54*O54+W55*O55+W56*O56+W57*O57+W58*O58</f>
        <v>964129.62046324764</v>
      </c>
      <c r="X49" s="467" t="s">
        <v>374</v>
      </c>
      <c r="Y49" s="865" t="s">
        <v>375</v>
      </c>
      <c r="Z49" s="458"/>
      <c r="AA49" s="458"/>
      <c r="AB49" s="473"/>
    </row>
    <row r="50" spans="1:28" s="262" customFormat="1" ht="24" hidden="1" customHeight="1" outlineLevel="1" x14ac:dyDescent="0.3">
      <c r="A50" s="458"/>
      <c r="B50" s="2306"/>
      <c r="C50" s="1637" t="s">
        <v>376</v>
      </c>
      <c r="D50" s="1638" t="s">
        <v>377</v>
      </c>
      <c r="E50" s="1516"/>
      <c r="F50" s="2330"/>
      <c r="G50" s="2312"/>
      <c r="H50" s="2329"/>
      <c r="I50" s="882"/>
      <c r="J50" s="2331" t="s">
        <v>378</v>
      </c>
      <c r="K50" s="2332"/>
      <c r="L50" s="2333" t="s">
        <v>379</v>
      </c>
      <c r="M50" s="2332"/>
      <c r="N50" s="458"/>
      <c r="O50" s="894" t="s">
        <v>380</v>
      </c>
      <c r="P50" s="467"/>
      <c r="Q50" s="890">
        <v>0.5</v>
      </c>
      <c r="R50" s="458"/>
      <c r="S50" s="2311"/>
      <c r="T50" s="2315"/>
      <c r="U50" s="2311"/>
      <c r="V50" s="467"/>
      <c r="W50" s="2348"/>
      <c r="X50" s="467"/>
      <c r="Y50" s="893">
        <f>$Y$33</f>
        <v>0.1</v>
      </c>
      <c r="Z50" s="458"/>
      <c r="AA50" s="458"/>
      <c r="AB50" s="473"/>
    </row>
    <row r="51" spans="1:28" s="262" customFormat="1" ht="24" hidden="1" customHeight="1" outlineLevel="1" x14ac:dyDescent="0.3">
      <c r="A51" s="458"/>
      <c r="B51" s="2300">
        <v>1</v>
      </c>
      <c r="C51" s="2300">
        <v>1</v>
      </c>
      <c r="D51" s="2303">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hidden="1" customHeight="1" outlineLevel="1" x14ac:dyDescent="0.3">
      <c r="A52" s="458"/>
      <c r="B52" s="2301"/>
      <c r="C52" s="2302"/>
      <c r="D52" s="2304"/>
      <c r="E52" s="882"/>
      <c r="F52" s="1694" t="s">
        <v>338</v>
      </c>
      <c r="G52" s="1695">
        <v>5</v>
      </c>
      <c r="H52" s="1696">
        <f>0.35-0.05</f>
        <v>0.3</v>
      </c>
      <c r="I52" s="1516"/>
      <c r="J52" s="1697">
        <f>$L$32*H52*$B$51*$C$51</f>
        <v>39.328913008319013</v>
      </c>
      <c r="K52" s="1698">
        <f>$M$32*H52*$B$51*$C$51</f>
        <v>3.2774094173599182</v>
      </c>
      <c r="L52" s="1697">
        <f>J52*$D$51</f>
        <v>49.161141260398765</v>
      </c>
      <c r="M52" s="1698">
        <f>K52*$D$51</f>
        <v>4.0967617716998976</v>
      </c>
      <c r="N52" s="458"/>
      <c r="O52" s="887">
        <v>76400</v>
      </c>
      <c r="P52" s="467"/>
      <c r="Q52" s="286">
        <f>O52*$Q$50*M52+O52*(1-$Q$50)*K52</f>
        <v>281693.33942208497</v>
      </c>
      <c r="R52" s="458"/>
      <c r="S52" s="891">
        <f>IF(AND(Q52&lt;&gt;0,O52&lt;&gt;0),Q52/(1+$D$17+$D$18+$D$19)/O52/30/(($D$25*1000000/$D$8))*1000,0)</f>
        <v>0.40928404994786699</v>
      </c>
      <c r="T52" s="467" t="s">
        <v>382</v>
      </c>
      <c r="U52" s="870">
        <f>S52*O52*30*$D$11*(1+$D$24)/1000</f>
        <v>276217.52559423185</v>
      </c>
      <c r="V52" s="467" t="s">
        <v>383</v>
      </c>
      <c r="W52" s="870">
        <f>IF(O52&lt;&gt;0,U52/O52,0)</f>
        <v>3.6154126386679559</v>
      </c>
      <c r="X52" s="467" t="s">
        <v>384</v>
      </c>
      <c r="Y52" s="287" t="str">
        <f>IF(O52=0,"-", IF(W52&lt;=(G52*(1+$Y$50)),"OK", "NOK"))</f>
        <v>OK</v>
      </c>
      <c r="Z52" s="151"/>
      <c r="AA52" s="249">
        <f>IF(OR(Y52="OK",Y52="-"),1,0)</f>
        <v>1</v>
      </c>
      <c r="AB52" s="473"/>
    </row>
    <row r="53" spans="1:28" s="262" customFormat="1" ht="24" hidden="1" customHeight="1" outlineLevel="1" x14ac:dyDescent="0.3">
      <c r="A53" s="458"/>
      <c r="B53" s="2301"/>
      <c r="C53" s="2302"/>
      <c r="D53" s="2304"/>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hidden="1" customHeight="1" outlineLevel="1" x14ac:dyDescent="0.3">
      <c r="A54" s="458"/>
      <c r="B54" s="2301"/>
      <c r="C54" s="2302"/>
      <c r="D54" s="2304"/>
      <c r="E54" s="882"/>
      <c r="F54" s="1694">
        <f>G52</f>
        <v>5</v>
      </c>
      <c r="G54" s="1695">
        <v>15</v>
      </c>
      <c r="H54" s="1696">
        <f>0.08</f>
        <v>0.08</v>
      </c>
      <c r="I54" s="1516"/>
      <c r="J54" s="1697">
        <f>$L$32*(H52+(G54-F54)*H54)*$B$51*$C$51</f>
        <v>144.2060143638364</v>
      </c>
      <c r="K54" s="1698">
        <f>$M$32*(H52+(G54-F54)*H54)*$B$51*$C$51</f>
        <v>12.017167863653034</v>
      </c>
      <c r="L54" s="1697">
        <f t="shared" ref="L54:M58" si="1">J54*$D$51</f>
        <v>180.2575179547955</v>
      </c>
      <c r="M54" s="1698">
        <f t="shared" si="1"/>
        <v>15.021459829566293</v>
      </c>
      <c r="N54" s="458"/>
      <c r="O54" s="887">
        <v>16500</v>
      </c>
      <c r="P54" s="467"/>
      <c r="Q54" s="286">
        <f>O54*$Q$50*M54+O54*(1-$Q$50)*K54</f>
        <v>223068.67846905946</v>
      </c>
      <c r="R54" s="458"/>
      <c r="S54" s="891">
        <f>IF(AND(Q54&lt;&gt;0,O54&lt;&gt;0),Q54/(1+$D$17+$D$18+$D$19)/O54/30/(($D$25*1000000/$D$8))*1000,0)</f>
        <v>1.5007081831421791</v>
      </c>
      <c r="T54" s="467" t="s">
        <v>382</v>
      </c>
      <c r="U54" s="870">
        <f>S54*O54*30*$D$11*(1+$D$24)/1000</f>
        <v>218732.46463941134</v>
      </c>
      <c r="V54" s="467" t="s">
        <v>383</v>
      </c>
      <c r="W54" s="900">
        <f>IF(O54&lt;&gt;0,U54/O54,0)</f>
        <v>13.256513008449172</v>
      </c>
      <c r="X54" s="467" t="s">
        <v>384</v>
      </c>
      <c r="Y54" s="287" t="str">
        <f>IF(O54=0,"-",IF(AND(((F54*(1-$Y$50))&lt;W54),(W54&lt;(G54*(1+$Y$50)))),"OK", "NOK"))</f>
        <v>OK</v>
      </c>
      <c r="Z54" s="151"/>
      <c r="AA54" s="249">
        <f>IF(OR(Y54="OK",Y54="-"),1,0)</f>
        <v>1</v>
      </c>
      <c r="AB54" s="473"/>
    </row>
    <row r="55" spans="1:28" s="262" customFormat="1" ht="24" hidden="1" customHeight="1" outlineLevel="1" x14ac:dyDescent="0.3">
      <c r="A55" s="458"/>
      <c r="B55" s="2301"/>
      <c r="C55" s="2302"/>
      <c r="D55" s="2304"/>
      <c r="E55" s="882"/>
      <c r="F55" s="1694">
        <f>G54</f>
        <v>15</v>
      </c>
      <c r="G55" s="1695">
        <v>25</v>
      </c>
      <c r="H55" s="1696">
        <f>0.0725</f>
        <v>7.2499999999999995E-2</v>
      </c>
      <c r="I55" s="1516"/>
      <c r="J55" s="1697">
        <f>$L$32*(H52+(G54-F54)*H54+(G55-F55)*H55)*$B$51*$C$51</f>
        <v>239.25088746727405</v>
      </c>
      <c r="K55" s="1698">
        <f>$M$32*(H52+(G54-F54)*H54+(G55-F55)*H55)*$B$51*$C$51</f>
        <v>19.937573955606169</v>
      </c>
      <c r="L55" s="1697">
        <f t="shared" si="1"/>
        <v>299.06360933409258</v>
      </c>
      <c r="M55" s="1698">
        <f t="shared" si="1"/>
        <v>24.921967444507711</v>
      </c>
      <c r="N55" s="458"/>
      <c r="O55" s="887">
        <v>10000</v>
      </c>
      <c r="P55" s="467"/>
      <c r="Q55" s="286">
        <f>O55*$Q$50*M55+O55*(1-$Q$50)*K55</f>
        <v>224297.70700056938</v>
      </c>
      <c r="R55" s="458"/>
      <c r="S55" s="891">
        <f>IF(AND(Q55&lt;&gt;0,O55&lt;&gt;0),Q55/(1+$D$17+$D$18+$D$19)/O55/30/(($D$25*1000000/$D$8))*1000,0)</f>
        <v>2.4898113038495238</v>
      </c>
      <c r="T55" s="467" t="s">
        <v>382</v>
      </c>
      <c r="U55" s="870">
        <f>S55*O55*30*$D$11*(1+$D$24)/1000</f>
        <v>219937.60218563396</v>
      </c>
      <c r="V55" s="467" t="s">
        <v>383</v>
      </c>
      <c r="W55" s="901">
        <f>IF(O55&lt;&gt;0,U55/O55,0)</f>
        <v>21.993760218563395</v>
      </c>
      <c r="X55" s="467" t="s">
        <v>384</v>
      </c>
      <c r="Y55" s="287" t="str">
        <f>IF(O55=0,"-",IF(AND(((F55*(1-$Y$50))&lt;W55),(W55&lt;(G55*(1+$Y$50)))),"OK", "NOK"))</f>
        <v>OK</v>
      </c>
      <c r="Z55" s="151"/>
      <c r="AA55" s="249">
        <f>IF(OR(Y55="OK",Y55="-"),1,0)</f>
        <v>1</v>
      </c>
      <c r="AB55" s="473"/>
    </row>
    <row r="56" spans="1:28" s="262" customFormat="1" ht="24" hidden="1" customHeight="1" outlineLevel="1" x14ac:dyDescent="0.3">
      <c r="A56" s="458"/>
      <c r="B56" s="2301"/>
      <c r="C56" s="2302"/>
      <c r="D56" s="2304"/>
      <c r="E56" s="882"/>
      <c r="F56" s="1694">
        <f>G55</f>
        <v>25</v>
      </c>
      <c r="G56" s="1695">
        <v>35</v>
      </c>
      <c r="H56" s="1696">
        <v>6.5000000000000002E-2</v>
      </c>
      <c r="I56" s="1516"/>
      <c r="J56" s="1697">
        <f>$L$32*(H52+(G54-F54)*H54+(G55-F55)*H55+(G56-F56)*H56)*$B$51*$C$51</f>
        <v>324.46353231863191</v>
      </c>
      <c r="K56" s="1698">
        <f>$M$32*(H52+(G54-F54)*H54+(G55-F55)*H55+(G56-F56)*H56)*$B$51*$C$51</f>
        <v>27.038627693219325</v>
      </c>
      <c r="L56" s="1697">
        <f t="shared" si="1"/>
        <v>405.57941539828988</v>
      </c>
      <c r="M56" s="1698">
        <f t="shared" si="1"/>
        <v>33.798284616524157</v>
      </c>
      <c r="N56" s="458"/>
      <c r="O56" s="887">
        <v>5500</v>
      </c>
      <c r="P56" s="467"/>
      <c r="Q56" s="286">
        <f>O56*$Q$50*M56+O56*(1-$Q$50)*K56</f>
        <v>167301.50885179458</v>
      </c>
      <c r="R56" s="458"/>
      <c r="S56" s="891">
        <f>IF(AND(Q56&lt;&gt;0,O56&lt;&gt;0),Q56/(1+$D$17+$D$18+$D$19)/O56/30/(($D$25*1000000/$D$8))*1000,0)</f>
        <v>3.3765934120699028</v>
      </c>
      <c r="T56" s="467" t="s">
        <v>382</v>
      </c>
      <c r="U56" s="870">
        <f>S56*O56*30*$D$11*(1+$D$24)/1000</f>
        <v>164049.34847955854</v>
      </c>
      <c r="V56" s="467" t="s">
        <v>383</v>
      </c>
      <c r="W56" s="901">
        <f>IF(O56&lt;&gt;0,U56/O56,0)</f>
        <v>29.827154269010645</v>
      </c>
      <c r="X56" s="467" t="s">
        <v>384</v>
      </c>
      <c r="Y56" s="287" t="str">
        <f>IF(O56=0,"-",IF(AND(((F56*(1-$Y$50))&lt;W56),(W56&lt;(G56*(1+$Y$50)))),"OK", "NOK"))</f>
        <v>OK</v>
      </c>
      <c r="Z56" s="151"/>
      <c r="AA56" s="249">
        <f>IF(OR(Y56="OK",Y56="-"),1,0)</f>
        <v>1</v>
      </c>
      <c r="AB56" s="473"/>
    </row>
    <row r="57" spans="1:28" s="262" customFormat="1" ht="24" hidden="1" customHeight="1" outlineLevel="1" x14ac:dyDescent="0.3">
      <c r="A57" s="458"/>
      <c r="B57" s="2301"/>
      <c r="C57" s="2302"/>
      <c r="D57" s="2304"/>
      <c r="E57" s="882"/>
      <c r="F57" s="1694">
        <f>G56</f>
        <v>35</v>
      </c>
      <c r="G57" s="1695">
        <v>50</v>
      </c>
      <c r="H57" s="1696">
        <f>0.06</f>
        <v>0.06</v>
      </c>
      <c r="I57" s="1516"/>
      <c r="J57" s="1697">
        <f>$L$32*(H52+(G54-F54)*H54+(G55-F55)*H55+(G56-F56)*H56+(G57-F57)*H57)*$B$51*$C$51</f>
        <v>442.45027134358895</v>
      </c>
      <c r="K57" s="1698">
        <f>$M$32*(H52+(G54-F54)*H54+(G55-F55)*H55+(G56-F56)*H56+(G57-F57)*H57)*$B$51*$C$51</f>
        <v>36.870855945299077</v>
      </c>
      <c r="L57" s="1697">
        <f t="shared" si="1"/>
        <v>553.06283917948622</v>
      </c>
      <c r="M57" s="1698">
        <f t="shared" si="1"/>
        <v>46.088569931623844</v>
      </c>
      <c r="N57" s="458"/>
      <c r="O57" s="887">
        <v>366</v>
      </c>
      <c r="P57" s="467"/>
      <c r="Q57" s="286">
        <f>O57*$Q$50*M57+O57*(1-$Q$50)*K57</f>
        <v>15181.574935476894</v>
      </c>
      <c r="R57" s="458"/>
      <c r="S57" s="891">
        <f>IF(AND(Q57&lt;&gt;0,O57&lt;&gt;0),Q57/(1+$D$17+$D$18+$D$19)/O57/30/(($D$25*1000000/$D$8))*1000,0)</f>
        <v>4.6044455619135025</v>
      </c>
      <c r="T57" s="467" t="s">
        <v>382</v>
      </c>
      <c r="U57" s="870">
        <f>S57*O57*30*$D$11*(1+$D$24)/1000</f>
        <v>14886.461539715303</v>
      </c>
      <c r="V57" s="467" t="s">
        <v>383</v>
      </c>
      <c r="W57" s="901">
        <f>IF(O57&lt;&gt;0,U57/O57,0)</f>
        <v>40.673392185014492</v>
      </c>
      <c r="X57" s="467" t="s">
        <v>384</v>
      </c>
      <c r="Y57" s="287" t="str">
        <f>IF(O57=0,"-",IF(AND(((F57*(1-$Y$50))&lt;W57),(W57&lt;(G57*(1+$Y$50)))),"OK", "NOK"))</f>
        <v>OK</v>
      </c>
      <c r="Z57" s="151"/>
      <c r="AA57" s="249">
        <f>IF(OR(Y57="OK",Y57="-"),1,0)</f>
        <v>1</v>
      </c>
      <c r="AB57" s="473"/>
    </row>
    <row r="58" spans="1:28" s="262" customFormat="1" ht="24" hidden="1" customHeight="1" outlineLevel="1" x14ac:dyDescent="0.3">
      <c r="A58" s="458"/>
      <c r="B58" s="2301"/>
      <c r="C58" s="2302"/>
      <c r="D58" s="2304"/>
      <c r="E58" s="882"/>
      <c r="F58" s="1694">
        <f>G57</f>
        <v>50</v>
      </c>
      <c r="G58" s="1695">
        <v>100</v>
      </c>
      <c r="H58" s="1696">
        <v>0.05</v>
      </c>
      <c r="I58" s="1516"/>
      <c r="J58" s="1697">
        <f>$L$32*(H52+(G54-F54)*H54+(G55-F55)*H55+(G56-F56)*H56+(G57-F57)*H57+(G58-F58)*H58)*$B$51*$C$51</f>
        <v>770.19121307958073</v>
      </c>
      <c r="K58" s="1698">
        <f>$M$32*(H52+(G54-F54)*H54+(G55-F55)*H55+(G56-F56)*H56+(G57-F57)*H57+(G58-F58)*H58)*$B$51*$C$51</f>
        <v>64.182601089965061</v>
      </c>
      <c r="L58" s="1697">
        <f t="shared" si="1"/>
        <v>962.73901634947595</v>
      </c>
      <c r="M58" s="1698">
        <f t="shared" si="1"/>
        <v>80.228251362456319</v>
      </c>
      <c r="N58" s="458"/>
      <c r="O58" s="887">
        <v>993</v>
      </c>
      <c r="P58" s="467"/>
      <c r="Q58" s="286">
        <f>O58*$Q$50*M58+O58*(1-$Q$50)*K58</f>
        <v>71699.988242627209</v>
      </c>
      <c r="R58" s="458"/>
      <c r="S58" s="891">
        <f>IF(AND(Q58&lt;&gt;0,O58&lt;&gt;0),Q58/(1+$D$17+$D$18+$D$19)/O58/30/(($D$25*1000000/$D$8))*1000,0)</f>
        <v>8.0151459781457266</v>
      </c>
      <c r="T58" s="467" t="s">
        <v>382</v>
      </c>
      <c r="U58" s="870">
        <f>S58*O58*30*$D$11*(1+$D$24)/1000</f>
        <v>70306.218024696718</v>
      </c>
      <c r="V58" s="467" t="s">
        <v>383</v>
      </c>
      <c r="W58" s="902">
        <f>IF(O58&lt;&gt;0,U58/O58,0)</f>
        <v>70.801830840580777</v>
      </c>
      <c r="X58" s="467" t="s">
        <v>384</v>
      </c>
      <c r="Y58" s="287" t="str">
        <f>IF(O58=0,"-",IF(AND(((F58*(1-$Y$50))&lt;W58),(W58&lt;(G58*(1+$Y$50)))),"OK", "NOK"))</f>
        <v>OK</v>
      </c>
      <c r="Z58" s="151"/>
      <c r="AA58" s="249">
        <f>IF(OR(Y58="OK",Y58="-"),1,0)</f>
        <v>1</v>
      </c>
      <c r="AB58" s="473"/>
    </row>
    <row r="59" spans="1:28" s="262" customFormat="1" ht="10.199999999999999" hidden="1" customHeight="1" outlineLevel="1" x14ac:dyDescent="0.3">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50000000000003" hidden="1" customHeight="1" outlineLevel="1" x14ac:dyDescent="0.3">
      <c r="A60" s="458"/>
      <c r="B60" s="2319" t="s">
        <v>386</v>
      </c>
      <c r="C60" s="2320"/>
      <c r="D60" s="2320"/>
      <c r="E60" s="2320"/>
      <c r="F60" s="2320"/>
      <c r="G60" s="2320"/>
      <c r="H60" s="2320"/>
      <c r="I60" s="2320"/>
      <c r="J60" s="2320"/>
      <c r="K60" s="2320"/>
      <c r="L60" s="2320"/>
      <c r="M60" s="2320"/>
      <c r="N60" s="461"/>
      <c r="O60" s="458"/>
      <c r="P60" s="461"/>
      <c r="Q60" s="458"/>
      <c r="R60" s="461"/>
      <c r="S60" s="458"/>
      <c r="T60" s="458"/>
      <c r="U60" s="458"/>
      <c r="V60" s="458"/>
      <c r="W60" s="459"/>
      <c r="X60" s="458"/>
      <c r="Y60" s="459"/>
      <c r="Z60" s="458"/>
      <c r="AA60" s="458"/>
      <c r="AB60" s="473"/>
    </row>
    <row r="61" spans="1:28" s="1656" customFormat="1" ht="25.2" hidden="1" customHeight="1" outlineLevel="1" x14ac:dyDescent="0.55000000000000004">
      <c r="A61" s="1649"/>
      <c r="B61" s="2305" t="s">
        <v>369</v>
      </c>
      <c r="C61" s="2312"/>
      <c r="D61" s="2312"/>
      <c r="E61" s="2313"/>
      <c r="F61" s="2312"/>
      <c r="G61" s="2312"/>
      <c r="H61" s="2312"/>
      <c r="I61" s="2313"/>
      <c r="J61" s="2312"/>
      <c r="K61" s="2312"/>
      <c r="L61" s="2312"/>
      <c r="M61" s="2312"/>
      <c r="N61" s="1650"/>
      <c r="O61" s="1651">
        <f>G7</f>
        <v>27439.800000000003</v>
      </c>
      <c r="P61" s="1652"/>
      <c r="Q61" s="1657"/>
      <c r="R61" s="1650"/>
      <c r="S61" s="1657"/>
      <c r="T61" s="1649"/>
      <c r="U61" s="1649"/>
      <c r="V61" s="1649"/>
      <c r="W61" s="1654"/>
      <c r="X61" s="1649"/>
      <c r="Y61" s="1654"/>
      <c r="Z61" s="1649"/>
      <c r="AA61" s="1649"/>
      <c r="AB61" s="1655"/>
    </row>
    <row r="62" spans="1:28" s="262" customFormat="1" ht="43.95" hidden="1" customHeight="1" outlineLevel="1" x14ac:dyDescent="0.3">
      <c r="A62" s="458"/>
      <c r="B62" s="2305" t="s">
        <v>370</v>
      </c>
      <c r="C62" s="2305" t="s">
        <v>371</v>
      </c>
      <c r="D62" s="2307"/>
      <c r="E62" s="1515"/>
      <c r="F62" s="2328" t="s">
        <v>372</v>
      </c>
      <c r="G62" s="2312"/>
      <c r="H62" s="2329"/>
      <c r="I62" s="881"/>
      <c r="J62" s="2308" t="s">
        <v>970</v>
      </c>
      <c r="K62" s="2309"/>
      <c r="L62" s="2309"/>
      <c r="M62" s="2309"/>
      <c r="N62" s="458"/>
      <c r="O62" s="265">
        <f>O65+O67+O68+O69+O70+O71</f>
        <v>27440</v>
      </c>
      <c r="P62" s="467"/>
      <c r="Q62" s="889">
        <f>Q65+Q67+Q68+Q69+Q70+Q71</f>
        <v>52032.438683330081</v>
      </c>
      <c r="R62" s="458"/>
      <c r="S62" s="2310">
        <f>IF(AND(Q62&lt;&gt;0,O62&lt;&gt;0),Q62/(1+$D$17+$D$18+$D$19)/(($D$25*1000000/$D$8)),0)</f>
        <v>173.27545038204553</v>
      </c>
      <c r="T62" s="2314" t="s">
        <v>373</v>
      </c>
      <c r="U62" s="2310">
        <f>U65+U67+U68+U69+U70+U71</f>
        <v>255104.92177821489</v>
      </c>
      <c r="V62" s="467" t="s">
        <v>374</v>
      </c>
      <c r="W62" s="2310">
        <f>W65*O65+W67*O67+W68*O68+W69*O69+W70*O70+W71*O71</f>
        <v>255104.92177821489</v>
      </c>
      <c r="X62" s="467" t="s">
        <v>374</v>
      </c>
      <c r="Y62" s="865" t="s">
        <v>375</v>
      </c>
      <c r="Z62" s="458"/>
      <c r="AA62" s="458"/>
      <c r="AB62" s="473"/>
    </row>
    <row r="63" spans="1:28" s="262" customFormat="1" ht="24" hidden="1" customHeight="1" outlineLevel="1" x14ac:dyDescent="0.3">
      <c r="A63" s="458"/>
      <c r="B63" s="2306"/>
      <c r="C63" s="1637" t="s">
        <v>376</v>
      </c>
      <c r="D63" s="1638" t="s">
        <v>377</v>
      </c>
      <c r="E63" s="1516"/>
      <c r="F63" s="2330"/>
      <c r="G63" s="2312"/>
      <c r="H63" s="2329"/>
      <c r="I63" s="882"/>
      <c r="J63" s="2331" t="s">
        <v>378</v>
      </c>
      <c r="K63" s="2332"/>
      <c r="L63" s="2333" t="s">
        <v>379</v>
      </c>
      <c r="M63" s="2332"/>
      <c r="N63" s="458"/>
      <c r="O63" s="894" t="s">
        <v>380</v>
      </c>
      <c r="P63" s="467"/>
      <c r="Q63" s="890">
        <v>0.25</v>
      </c>
      <c r="R63" s="458"/>
      <c r="S63" s="2311"/>
      <c r="T63" s="2315"/>
      <c r="U63" s="2311"/>
      <c r="V63" s="467"/>
      <c r="W63" s="2338"/>
      <c r="X63" s="467"/>
      <c r="Y63" s="893">
        <f>$Y$33</f>
        <v>0.1</v>
      </c>
      <c r="Z63" s="458"/>
      <c r="AA63" s="458"/>
      <c r="AB63" s="473"/>
    </row>
    <row r="64" spans="1:28" s="262" customFormat="1" ht="24" hidden="1" customHeight="1" outlineLevel="1" x14ac:dyDescent="0.3">
      <c r="A64" s="458"/>
      <c r="B64" s="2344">
        <f>B51*$H$15</f>
        <v>0.2</v>
      </c>
      <c r="C64" s="2344">
        <f>C51</f>
        <v>1</v>
      </c>
      <c r="D64" s="2344">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hidden="1" customHeight="1" outlineLevel="1" x14ac:dyDescent="0.3">
      <c r="A65" s="458"/>
      <c r="B65" s="2345"/>
      <c r="C65" s="2345"/>
      <c r="D65" s="2345"/>
      <c r="E65" s="882"/>
      <c r="F65" s="1694" t="s">
        <v>338</v>
      </c>
      <c r="G65" s="1699">
        <f>G52</f>
        <v>5</v>
      </c>
      <c r="H65" s="1700">
        <f>H52</f>
        <v>0.3</v>
      </c>
      <c r="I65" s="1516"/>
      <c r="J65" s="1701">
        <f>$L$32*H65*$B$64*$C$64</f>
        <v>7.8657826016638026</v>
      </c>
      <c r="K65" s="1698">
        <f>$M$32*H65*$B$64*$C$64</f>
        <v>0.65548188347198366</v>
      </c>
      <c r="L65" s="1697">
        <f>J65*$D$51</f>
        <v>9.8322282520797533</v>
      </c>
      <c r="M65" s="1698">
        <f>K65*$D$51</f>
        <v>0.81935235433997955</v>
      </c>
      <c r="N65" s="458"/>
      <c r="O65" s="887">
        <v>15000</v>
      </c>
      <c r="P65" s="467"/>
      <c r="Q65" s="286">
        <f>O65*$Q$63*M65+O65*(1-$Q$63)*K65</f>
        <v>10446.74251783474</v>
      </c>
      <c r="R65" s="458"/>
      <c r="S65" s="891">
        <f>IF(AND(Q65&lt;&gt;0,O65&lt;&gt;0),Q65/(1+$D$17+$D$18+$D$19)/$H$15/O65/30/(($D$25*1000000/$D$8))*1000,0)</f>
        <v>0.38654604717298552</v>
      </c>
      <c r="T65" s="467" t="s">
        <v>382</v>
      </c>
      <c r="U65" s="870">
        <f>S65*O65*30*$D$11*(1+$D$24)/1000</f>
        <v>51218.34571446271</v>
      </c>
      <c r="V65" s="467" t="s">
        <v>383</v>
      </c>
      <c r="W65" s="870">
        <f>IF(O65&lt;&gt;0,U65/O65,0)</f>
        <v>3.4145563809641808</v>
      </c>
      <c r="X65" s="467" t="s">
        <v>384</v>
      </c>
      <c r="Y65" s="287" t="str">
        <f>IF(O65=0,"-", IF(W65&lt;=(G65*(1+$Y$63)),"OK", "NOK"))</f>
        <v>OK</v>
      </c>
      <c r="Z65" s="284">
        <f>W65/$H$15</f>
        <v>17.072781904820904</v>
      </c>
      <c r="AA65" s="249">
        <f>IF(OR(Y65="OK",Y65="-"),1,0)</f>
        <v>1</v>
      </c>
      <c r="AB65" s="459"/>
    </row>
    <row r="66" spans="1:28" s="262" customFormat="1" ht="24" hidden="1" customHeight="1" outlineLevel="1" x14ac:dyDescent="0.3">
      <c r="A66" s="458"/>
      <c r="B66" s="2345"/>
      <c r="C66" s="2345"/>
      <c r="D66" s="2345"/>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hidden="1" customHeight="1" outlineLevel="1" x14ac:dyDescent="0.3">
      <c r="A67" s="458"/>
      <c r="B67" s="2345"/>
      <c r="C67" s="2345"/>
      <c r="D67" s="2345"/>
      <c r="E67" s="882"/>
      <c r="F67" s="1694">
        <f>G65</f>
        <v>5</v>
      </c>
      <c r="G67" s="1699">
        <f t="shared" ref="G67:H71" si="2">G54</f>
        <v>15</v>
      </c>
      <c r="H67" s="1700">
        <f t="shared" si="2"/>
        <v>0.08</v>
      </c>
      <c r="I67" s="1516"/>
      <c r="J67" s="1701">
        <f>$L$32*(H65+(G67-F67)*H67)*$B$64*$C$64</f>
        <v>28.841202872767283</v>
      </c>
      <c r="K67" s="1698">
        <f>$M$32*(H65+(G67-F67)*H67)*$B$64*$C$64</f>
        <v>2.4034335727306071</v>
      </c>
      <c r="L67" s="1697">
        <f t="shared" ref="L67:M71" si="3">J67*$D$51</f>
        <v>36.051503590959101</v>
      </c>
      <c r="M67" s="1698">
        <f t="shared" si="3"/>
        <v>3.004291965913259</v>
      </c>
      <c r="N67" s="458"/>
      <c r="O67" s="887">
        <v>8400</v>
      </c>
      <c r="P67" s="467"/>
      <c r="Q67" s="286">
        <f>O67*$Q$63*M67+O67*(1-$Q$63)*K67</f>
        <v>21450.644636620669</v>
      </c>
      <c r="R67" s="458"/>
      <c r="S67" s="891">
        <f>IF(AND(Q67&lt;&gt;0,O67&lt;&gt;0),Q67/(1+$D$17+$D$18+$D$19)/$H$15/O67/30/(($D$25*1000000/$D$8))*1000,0)</f>
        <v>1.4173355063009472</v>
      </c>
      <c r="T67" s="467" t="s">
        <v>382</v>
      </c>
      <c r="U67" s="870">
        <f>S67*O67*30*$D$11*(1+$D$24)/1000</f>
        <v>105168.33653369678</v>
      </c>
      <c r="V67" s="467" t="s">
        <v>383</v>
      </c>
      <c r="W67" s="870">
        <f>IF(O67&lt;&gt;0,U67/O67,0)</f>
        <v>12.520040063535331</v>
      </c>
      <c r="X67" s="467" t="s">
        <v>384</v>
      </c>
      <c r="Y67" s="287" t="str">
        <f>IF(O67=0,"-",IF(AND(((F67*(1-$Y$63))&lt;W67),(W67&lt;(G67*(1+$Y$63)))),"OK", "NOK"))</f>
        <v>OK</v>
      </c>
      <c r="Z67" s="284">
        <f>W67/$H$15</f>
        <v>62.600200317676652</v>
      </c>
      <c r="AA67" s="249">
        <f>IF(OR(Y67="OK",Y67="-"),1,0)</f>
        <v>1</v>
      </c>
      <c r="AB67" s="459"/>
    </row>
    <row r="68" spans="1:28" s="262" customFormat="1" ht="24" hidden="1" customHeight="1" outlineLevel="1" x14ac:dyDescent="0.3">
      <c r="A68" s="458"/>
      <c r="B68" s="2345"/>
      <c r="C68" s="2345"/>
      <c r="D68" s="2345"/>
      <c r="E68" s="882"/>
      <c r="F68" s="1694">
        <f>G67</f>
        <v>15</v>
      </c>
      <c r="G68" s="1699">
        <f t="shared" si="2"/>
        <v>25</v>
      </c>
      <c r="H68" s="1700">
        <f t="shared" si="2"/>
        <v>7.2499999999999995E-2</v>
      </c>
      <c r="I68" s="1516"/>
      <c r="J68" s="1701">
        <f>$L$32*(H65+(G67-F67)*H67+(G68-F68)*H68)*$B$64*$C$64</f>
        <v>47.850177493454815</v>
      </c>
      <c r="K68" s="1698">
        <f>$M$32*(H65+(G67-F67)*H67+(G68-F68)*H68)*$B$64*$C$64</f>
        <v>3.9875147911212339</v>
      </c>
      <c r="L68" s="1697">
        <f t="shared" si="3"/>
        <v>59.812721866818521</v>
      </c>
      <c r="M68" s="1698">
        <f t="shared" si="3"/>
        <v>4.9843934889015422</v>
      </c>
      <c r="N68" s="458"/>
      <c r="O68" s="887">
        <v>2960</v>
      </c>
      <c r="P68" s="467"/>
      <c r="Q68" s="286">
        <f>O68*$Q$63*M68+O68*(1-$Q$63)*K68</f>
        <v>12540.73401807628</v>
      </c>
      <c r="R68" s="458"/>
      <c r="S68" s="891">
        <f>IF(AND(Q68&lt;&gt;0,O68&lt;&gt;0),Q68/(1+$D$17+$D$18+$D$19)/$H$15/O68/30/(($D$25*1000000/$D$8))*1000,0)</f>
        <v>2.3514884536356613</v>
      </c>
      <c r="T68" s="467" t="s">
        <v>382</v>
      </c>
      <c r="U68" s="870">
        <f>S68*O68*30*$D$11*(1+$D$24)/1000</f>
        <v>61484.778566561668</v>
      </c>
      <c r="V68" s="467" t="s">
        <v>383</v>
      </c>
      <c r="W68" s="870">
        <f>IF(O68&lt;&gt;0,U68/O68,0)</f>
        <v>20.771884650865427</v>
      </c>
      <c r="X68" s="467" t="s">
        <v>384</v>
      </c>
      <c r="Y68" s="287" t="str">
        <f>IF(O68=0,"-",IF(AND(((F68*(1-$Y$63))&lt;W68),(W68&lt;(G68*(1+$Y$63)))),"OK", "NOK"))</f>
        <v>OK</v>
      </c>
      <c r="Z68" s="284">
        <f>W68/$H$15</f>
        <v>103.85942325432713</v>
      </c>
      <c r="AA68" s="249">
        <f>IF(OR(Y68="OK",Y68="-"),1,0)</f>
        <v>1</v>
      </c>
      <c r="AB68" s="459"/>
    </row>
    <row r="69" spans="1:28" s="262" customFormat="1" ht="24" hidden="1" customHeight="1" outlineLevel="1" x14ac:dyDescent="0.3">
      <c r="A69" s="458"/>
      <c r="B69" s="2345"/>
      <c r="C69" s="2345"/>
      <c r="D69" s="2345"/>
      <c r="E69" s="882"/>
      <c r="F69" s="1694">
        <f>G68</f>
        <v>25</v>
      </c>
      <c r="G69" s="1699">
        <f t="shared" si="2"/>
        <v>35</v>
      </c>
      <c r="H69" s="1700">
        <f t="shared" si="2"/>
        <v>6.5000000000000002E-2</v>
      </c>
      <c r="I69" s="1516"/>
      <c r="J69" s="1701">
        <f>$L$32*(H65+(G67-F67)*H67+(G68-F68)*H68+(G69-F69)*H69)*$B$64*$C$64</f>
        <v>64.892706463726384</v>
      </c>
      <c r="K69" s="1698">
        <f>$M$32*(H65+(G67-F67)*H67+(G68-F68)*H68+(G69-F69)*H69)*$B$64*$C$64</f>
        <v>5.4077255386438656</v>
      </c>
      <c r="L69" s="1697">
        <f t="shared" si="3"/>
        <v>81.115883079657976</v>
      </c>
      <c r="M69" s="1698">
        <f t="shared" si="3"/>
        <v>6.7596569233048323</v>
      </c>
      <c r="N69" s="458"/>
      <c r="O69" s="887">
        <v>693</v>
      </c>
      <c r="P69" s="467"/>
      <c r="Q69" s="286">
        <f>O69*$Q$63*M69+O69*(1-$Q$63)*K69</f>
        <v>3981.7759106727117</v>
      </c>
      <c r="R69" s="458"/>
      <c r="S69" s="891">
        <f>IF(AND(Q69&lt;&gt;0,O69&lt;&gt;0),Q69/(1+$D$17+$D$18+$D$19)/$H$15/O69/30/(($D$25*1000000/$D$8))*1000,0)</f>
        <v>3.1890048891771308</v>
      </c>
      <c r="T69" s="467" t="s">
        <v>382</v>
      </c>
      <c r="U69" s="870">
        <f>S69*O69*30*$D$11*(1+$D$24)/1000</f>
        <v>19521.872469067464</v>
      </c>
      <c r="V69" s="467" t="s">
        <v>383</v>
      </c>
      <c r="W69" s="870">
        <f>IF(O69&lt;&gt;0,U69/O69,0)</f>
        <v>28.170090142954493</v>
      </c>
      <c r="X69" s="467" t="s">
        <v>384</v>
      </c>
      <c r="Y69" s="287" t="str">
        <f>IF(O69=0,"-",IF(AND(((F69*(1-$Y$63))&lt;W69),(W69&lt;(G69*(1+$Y$63)))),"OK", "NOK"))</f>
        <v>OK</v>
      </c>
      <c r="Z69" s="284">
        <f>W69/$H$15</f>
        <v>140.85045071477245</v>
      </c>
      <c r="AA69" s="249">
        <f>IF(OR(Y69="OK",Y69="-"),1,0)</f>
        <v>1</v>
      </c>
      <c r="AB69" s="459"/>
    </row>
    <row r="70" spans="1:28" s="262" customFormat="1" ht="24" hidden="1" customHeight="1" outlineLevel="1" x14ac:dyDescent="0.3">
      <c r="A70" s="458"/>
      <c r="B70" s="2345"/>
      <c r="C70" s="2345"/>
      <c r="D70" s="2345"/>
      <c r="E70" s="882"/>
      <c r="F70" s="1694">
        <f>G69</f>
        <v>35</v>
      </c>
      <c r="G70" s="1699">
        <f t="shared" si="2"/>
        <v>50</v>
      </c>
      <c r="H70" s="1700">
        <f t="shared" si="2"/>
        <v>0.06</v>
      </c>
      <c r="I70" s="1516"/>
      <c r="J70" s="1701">
        <f>$L$32*(H65+(G67-F67)*H67+(G68-F68)*H68+(G69-F69)*H69+(G70-F70)*H70)*$B$64*$C$64</f>
        <v>88.490054268717799</v>
      </c>
      <c r="K70" s="1698">
        <f>$M$32*(H65+(G67-F67)*H67+(G68-F68)*H68+(G69-F69)*H69+(G70-F70)*H70)*$B$64*$C$64</f>
        <v>7.3741711890598154</v>
      </c>
      <c r="L70" s="1697">
        <f t="shared" si="3"/>
        <v>110.61256783589725</v>
      </c>
      <c r="M70" s="1698">
        <f t="shared" si="3"/>
        <v>9.2177139863247692</v>
      </c>
      <c r="N70" s="458"/>
      <c r="O70" s="887">
        <v>287</v>
      </c>
      <c r="P70" s="467"/>
      <c r="Q70" s="286">
        <f>O70*$Q$63*M70+O70*(1-$Q$63)*K70</f>
        <v>2248.6613269639274</v>
      </c>
      <c r="R70" s="458"/>
      <c r="S70" s="891">
        <f>IF(AND(Q70&lt;&gt;0,O70&lt;&gt;0),Q70/(1+$D$17+$D$18+$D$19)/$H$15/O70/30/(($D$25*1000000/$D$8))*1000,0)</f>
        <v>4.3486430306960866</v>
      </c>
      <c r="T70" s="467" t="s">
        <v>382</v>
      </c>
      <c r="U70" s="870">
        <f>S70*O70*30*$D$11*(1+$D$24)/1000</f>
        <v>11024.748915038097</v>
      </c>
      <c r="V70" s="467" t="s">
        <v>383</v>
      </c>
      <c r="W70" s="870">
        <f>IF(O70&lt;&gt;0,U70/O70,0)</f>
        <v>38.413759285847028</v>
      </c>
      <c r="X70" s="467" t="s">
        <v>384</v>
      </c>
      <c r="Y70" s="287" t="str">
        <f>IF(O70=0,"-",IF(AND(((F70*(1-$Y$63))&lt;W70),(W70&lt;(G70*(1+$Y$63)))),"OK", "NOK"))</f>
        <v>OK</v>
      </c>
      <c r="Z70" s="284">
        <f>W70/$H$15</f>
        <v>192.06879642923514</v>
      </c>
      <c r="AA70" s="249">
        <f>IF(OR(Y70="OK",Y70="-"),1,0)</f>
        <v>1</v>
      </c>
      <c r="AB70" s="459"/>
    </row>
    <row r="71" spans="1:28" s="262" customFormat="1" ht="24" hidden="1" customHeight="1" outlineLevel="1" x14ac:dyDescent="0.3">
      <c r="A71" s="458"/>
      <c r="B71" s="2346"/>
      <c r="C71" s="2346"/>
      <c r="D71" s="2346"/>
      <c r="E71" s="882"/>
      <c r="F71" s="1694">
        <f>G70</f>
        <v>50</v>
      </c>
      <c r="G71" s="1699">
        <f t="shared" si="2"/>
        <v>100</v>
      </c>
      <c r="H71" s="1700">
        <f t="shared" si="2"/>
        <v>0.05</v>
      </c>
      <c r="I71" s="1516"/>
      <c r="J71" s="1701">
        <f>$L$32*(H65+(G67-F67)*H67+(G68-F68)*H68+(G69-F69)*H69+(G70-F70)*H70+(G71-F71)*H71)*$B$64*$C$64</f>
        <v>154.03824261591615</v>
      </c>
      <c r="K71" s="1698">
        <f>$M$32*(H65+(G67-F67)*H67+(G68-F68)*H68+(G69-F69)*H69+(G70-F70)*H70+(G71-F71)*H71)*$B$64*$C$64</f>
        <v>12.836520217993012</v>
      </c>
      <c r="L71" s="1697">
        <f t="shared" si="3"/>
        <v>192.54780326989518</v>
      </c>
      <c r="M71" s="1698">
        <f t="shared" si="3"/>
        <v>16.045650272491265</v>
      </c>
      <c r="N71" s="458"/>
      <c r="O71" s="887">
        <v>100</v>
      </c>
      <c r="P71" s="467"/>
      <c r="Q71" s="286">
        <f>O71*$Q$63*M71+O71*(1-$Q$63)*K71</f>
        <v>1363.8802731617575</v>
      </c>
      <c r="R71" s="458"/>
      <c r="S71" s="891">
        <f>IF(AND(Q71&lt;&gt;0,O71&lt;&gt;0),Q71/(1+$D$17+$D$18+$D$19)/$H$15/O71/30/(($D$25*1000000/$D$8))*1000,0)</f>
        <v>7.5698600904709643</v>
      </c>
      <c r="T71" s="467" t="s">
        <v>382</v>
      </c>
      <c r="U71" s="870">
        <f>S71*O71*30*$D$11*(1+$D$24)/1000</f>
        <v>6686.8395793881864</v>
      </c>
      <c r="V71" s="467" t="s">
        <v>383</v>
      </c>
      <c r="W71" s="870">
        <f>IF(O71&lt;&gt;0,U71/O71,0)</f>
        <v>66.868395793881859</v>
      </c>
      <c r="X71" s="467" t="s">
        <v>384</v>
      </c>
      <c r="Y71" s="287" t="str">
        <f>IF(O71=0,"-",IF(AND(((F71*(1-$Y$63))&lt;W71),(W71&lt;(G71*(1+$Y$63)))),"OK", "NOK"))</f>
        <v>OK</v>
      </c>
      <c r="Z71" s="284">
        <f>W71/$H$15</f>
        <v>334.3419789694093</v>
      </c>
      <c r="AA71" s="249">
        <f>IF(OR(Y71="OK",Y71="-"),1,0)</f>
        <v>1</v>
      </c>
      <c r="AB71" s="459"/>
    </row>
    <row r="72" spans="1:28" s="262" customFormat="1" ht="10.199999999999999" hidden="1" customHeight="1" outlineLevel="1" x14ac:dyDescent="0.3">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50000000000003" hidden="1" customHeight="1" outlineLevel="1" x14ac:dyDescent="0.3">
      <c r="A73" s="458"/>
      <c r="B73" s="2319" t="s">
        <v>762</v>
      </c>
      <c r="C73" s="2320"/>
      <c r="D73" s="2320"/>
      <c r="E73" s="2320"/>
      <c r="F73" s="2320"/>
      <c r="G73" s="2320"/>
      <c r="H73" s="2320"/>
      <c r="I73" s="2320"/>
      <c r="J73" s="2320"/>
      <c r="K73" s="2320"/>
      <c r="L73" s="2320"/>
      <c r="M73" s="2320"/>
      <c r="N73" s="458"/>
      <c r="O73" s="458"/>
      <c r="P73" s="458"/>
      <c r="Q73" s="458"/>
      <c r="R73" s="458"/>
      <c r="S73" s="458"/>
      <c r="T73" s="458"/>
      <c r="U73" s="458"/>
      <c r="V73" s="458"/>
      <c r="W73" s="459"/>
      <c r="X73" s="458"/>
      <c r="Y73" s="459"/>
      <c r="Z73" s="458"/>
      <c r="AA73" s="458"/>
      <c r="AB73" s="473"/>
    </row>
    <row r="74" spans="1:28" s="1656" customFormat="1" ht="25.2" hidden="1" customHeight="1" outlineLevel="1" x14ac:dyDescent="0.55000000000000004">
      <c r="A74" s="1649"/>
      <c r="B74" s="2305" t="s">
        <v>369</v>
      </c>
      <c r="C74" s="2312"/>
      <c r="D74" s="2312"/>
      <c r="E74" s="2313"/>
      <c r="F74" s="2312"/>
      <c r="G74" s="2312"/>
      <c r="H74" s="2312"/>
      <c r="I74" s="2313"/>
      <c r="J74" s="2312"/>
      <c r="K74" s="2312"/>
      <c r="L74" s="2312"/>
      <c r="M74" s="2312"/>
      <c r="N74" s="1649"/>
      <c r="O74" s="1651">
        <f>G8</f>
        <v>27439.8</v>
      </c>
      <c r="P74" s="1658"/>
      <c r="Q74" s="1649"/>
      <c r="R74" s="1649"/>
      <c r="S74" s="1649"/>
      <c r="T74" s="1649"/>
      <c r="U74" s="1649"/>
      <c r="V74" s="1649"/>
      <c r="W74" s="1654"/>
      <c r="X74" s="1649"/>
      <c r="Y74" s="1654"/>
      <c r="Z74" s="1649"/>
      <c r="AA74" s="1649"/>
      <c r="AB74" s="1655"/>
    </row>
    <row r="75" spans="1:28" s="262" customFormat="1" ht="37.950000000000003" hidden="1" customHeight="1" outlineLevel="1" x14ac:dyDescent="0.3">
      <c r="A75" s="459"/>
      <c r="B75" s="2305" t="s">
        <v>370</v>
      </c>
      <c r="C75" s="2305" t="s">
        <v>371</v>
      </c>
      <c r="D75" s="2307"/>
      <c r="E75" s="1515"/>
      <c r="F75" s="2328" t="s">
        <v>372</v>
      </c>
      <c r="G75" s="2312"/>
      <c r="H75" s="2329"/>
      <c r="I75" s="881"/>
      <c r="J75" s="2308" t="s">
        <v>970</v>
      </c>
      <c r="K75" s="2309"/>
      <c r="L75" s="2309"/>
      <c r="M75" s="2309"/>
      <c r="N75" s="458"/>
      <c r="O75" s="265">
        <f>O78+O80+O81+O82+O83+O84</f>
        <v>27440</v>
      </c>
      <c r="P75" s="467"/>
      <c r="Q75" s="889">
        <f>Q78+Q80+Q81+Q82+Q83+Q84</f>
        <v>752296.96733697271</v>
      </c>
      <c r="R75" s="458"/>
      <c r="S75" s="2310">
        <f>IF(AND(Q75&lt;&gt;0,O75&lt;&gt;0),Q75/(1+$D$17+$D$18+$D$19)/(($D$25*1000000/$D$8)),0)</f>
        <v>2505.2563196143901</v>
      </c>
      <c r="T75" s="2314" t="s">
        <v>373</v>
      </c>
      <c r="U75" s="2310">
        <f>U78+U80+U81+U82+U83+U84</f>
        <v>737673.12800570868</v>
      </c>
      <c r="V75" s="467" t="s">
        <v>374</v>
      </c>
      <c r="W75" s="2310">
        <f>W78*O78+W80*O80+W81*O81+W82*O82+W83*O83+W84*O84</f>
        <v>737673.12800570868</v>
      </c>
      <c r="X75" s="467" t="s">
        <v>374</v>
      </c>
      <c r="Y75" s="865" t="s">
        <v>375</v>
      </c>
      <c r="Z75" s="151"/>
      <c r="AA75" s="151"/>
      <c r="AB75" s="473"/>
    </row>
    <row r="76" spans="1:28" s="262" customFormat="1" ht="24" hidden="1" customHeight="1" outlineLevel="1" x14ac:dyDescent="0.3">
      <c r="A76" s="459"/>
      <c r="B76" s="2306"/>
      <c r="C76" s="1637" t="s">
        <v>376</v>
      </c>
      <c r="D76" s="1638" t="s">
        <v>377</v>
      </c>
      <c r="E76" s="1516"/>
      <c r="F76" s="2330"/>
      <c r="G76" s="2312"/>
      <c r="H76" s="2329"/>
      <c r="I76" s="882"/>
      <c r="J76" s="2331" t="s">
        <v>378</v>
      </c>
      <c r="K76" s="2332"/>
      <c r="L76" s="2333" t="s">
        <v>379</v>
      </c>
      <c r="M76" s="2332"/>
      <c r="N76" s="458"/>
      <c r="O76" s="894" t="s">
        <v>380</v>
      </c>
      <c r="P76" s="467"/>
      <c r="Q76" s="890">
        <v>0.5</v>
      </c>
      <c r="R76" s="458"/>
      <c r="S76" s="2311"/>
      <c r="T76" s="2315"/>
      <c r="U76" s="2311"/>
      <c r="V76" s="467"/>
      <c r="W76" s="2338"/>
      <c r="X76" s="467"/>
      <c r="Y76" s="893">
        <f>$Y$33</f>
        <v>0.1</v>
      </c>
      <c r="Z76" s="151"/>
      <c r="AA76" s="151"/>
      <c r="AB76" s="473"/>
    </row>
    <row r="77" spans="1:28" s="262" customFormat="1" ht="24" hidden="1" customHeight="1" outlineLevel="1" x14ac:dyDescent="0.3">
      <c r="A77" s="459"/>
      <c r="B77" s="2300">
        <v>2</v>
      </c>
      <c r="C77" s="2300">
        <v>1</v>
      </c>
      <c r="D77" s="2303">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hidden="1" customHeight="1" outlineLevel="1" x14ac:dyDescent="0.3">
      <c r="A78" s="458"/>
      <c r="B78" s="2301"/>
      <c r="C78" s="2342"/>
      <c r="D78" s="2343"/>
      <c r="E78" s="882"/>
      <c r="F78" s="1694" t="s">
        <v>338</v>
      </c>
      <c r="G78" s="1695">
        <v>5</v>
      </c>
      <c r="H78" s="1696">
        <f>0.35-0.25</f>
        <v>9.9999999999999978E-2</v>
      </c>
      <c r="I78" s="1516"/>
      <c r="J78" s="1697">
        <f>$L$32*H78*$B$77*$C$77</f>
        <v>26.219275338879338</v>
      </c>
      <c r="K78" s="1698">
        <f>$M$32*H78*$B$77*$C$77</f>
        <v>2.1849396115732782</v>
      </c>
      <c r="L78" s="1697">
        <f>J78*$D$77</f>
        <v>32.774094173599174</v>
      </c>
      <c r="M78" s="1698">
        <f>K78*$D$77</f>
        <v>2.7311745144665975</v>
      </c>
      <c r="N78" s="458"/>
      <c r="O78" s="887">
        <v>7692</v>
      </c>
      <c r="P78" s="467"/>
      <c r="Q78" s="286">
        <f>O78*$Q$76*M78+O78*(1-$Q$76)*K78</f>
        <v>18907.374928749363</v>
      </c>
      <c r="R78" s="458"/>
      <c r="S78" s="891">
        <f>IF(AND(Q78&lt;&gt;0,O78&lt;&gt;0),Q78/(1+$D$17+$D$18+$D$19)/O78/30/(($D$25*1000000/$D$8))*1000,0)</f>
        <v>0.27285603329857794</v>
      </c>
      <c r="T78" s="467" t="s">
        <v>382</v>
      </c>
      <c r="U78" s="870">
        <f>S78*O78*30*$D$11*(1+$D$24)/1000</f>
        <v>18539.836011089272</v>
      </c>
      <c r="V78" s="467" t="s">
        <v>383</v>
      </c>
      <c r="W78" s="870">
        <f>IF(O78&lt;&gt;0,U78/O78,0)</f>
        <v>2.4102750924453034</v>
      </c>
      <c r="X78" s="467" t="s">
        <v>383</v>
      </c>
      <c r="Y78" s="287" t="str">
        <f>IF(O78=0,"-", IF(W78&lt;=(G78*(1+$Y$76)),"OK", "NOK"))</f>
        <v>OK</v>
      </c>
      <c r="Z78" s="151"/>
      <c r="AA78" s="249">
        <f>IF(OR(Y78="OK",Y78="-"),1,0)</f>
        <v>1</v>
      </c>
      <c r="AB78" s="473"/>
    </row>
    <row r="79" spans="1:28" s="262" customFormat="1" ht="24" hidden="1" customHeight="1" outlineLevel="1" x14ac:dyDescent="0.3">
      <c r="A79" s="458"/>
      <c r="B79" s="2301"/>
      <c r="C79" s="2342"/>
      <c r="D79" s="2343"/>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hidden="1" customHeight="1" outlineLevel="1" x14ac:dyDescent="0.3">
      <c r="A80" s="458"/>
      <c r="B80" s="2301"/>
      <c r="C80" s="2342"/>
      <c r="D80" s="2343"/>
      <c r="E80" s="882"/>
      <c r="F80" s="1694">
        <f>G78</f>
        <v>5</v>
      </c>
      <c r="G80" s="1695">
        <v>20</v>
      </c>
      <c r="H80" s="1696">
        <f>0.05</f>
        <v>0.05</v>
      </c>
      <c r="I80" s="1516"/>
      <c r="J80" s="1697">
        <f>$L$32*(H78+(G80-F80)*H80)*$B$77*$C$77</f>
        <v>222.86384038047441</v>
      </c>
      <c r="K80" s="1698">
        <f>$M$32*(H78+(G80-F80)*H80)*$B$77*$C$77</f>
        <v>18.571986698372868</v>
      </c>
      <c r="L80" s="1697">
        <f t="shared" ref="L80:M84" si="4">J80*$D$77</f>
        <v>278.579800475593</v>
      </c>
      <c r="M80" s="1698">
        <f t="shared" si="4"/>
        <v>23.214983372966085</v>
      </c>
      <c r="N80" s="458"/>
      <c r="O80" s="887">
        <v>8500</v>
      </c>
      <c r="P80" s="467"/>
      <c r="Q80" s="286">
        <f>O80*$Q$76*M80+O80*(1-$Q$76)*K80</f>
        <v>177594.62280319055</v>
      </c>
      <c r="R80" s="458"/>
      <c r="S80" s="891">
        <f>IF(AND(Q80&lt;&gt;0,O80&lt;&gt;0),Q80/(1+$D$17+$D$18+$D$19)/O80/30/(($D$25*1000000/$D$8))*1000,0)</f>
        <v>2.319276283037913</v>
      </c>
      <c r="T80" s="467" t="s">
        <v>382</v>
      </c>
      <c r="U80" s="870">
        <f>S80*O80*30*$D$11*(1+$D$24)/1000</f>
        <v>174142.37542917323</v>
      </c>
      <c r="V80" s="467" t="s">
        <v>383</v>
      </c>
      <c r="W80" s="870">
        <f>IF(O80&lt;&gt;0,U80/O80,0)</f>
        <v>20.487338285785086</v>
      </c>
      <c r="X80" s="467" t="s">
        <v>383</v>
      </c>
      <c r="Y80" s="287" t="str">
        <f>IF(O80=0,"-",IF(AND(((F80*(1-$Y$76))&lt;W80),(W80&lt;(G80*(1+$Y$76)))),"OK", "NOK"))</f>
        <v>OK</v>
      </c>
      <c r="Z80" s="151"/>
      <c r="AA80" s="249">
        <f>IF(OR(Y80="OK",Y80="-"),1,0)</f>
        <v>1</v>
      </c>
      <c r="AB80" s="473"/>
    </row>
    <row r="81" spans="1:28" s="262" customFormat="1" ht="24" hidden="1" customHeight="1" outlineLevel="1" x14ac:dyDescent="0.3">
      <c r="A81" s="458"/>
      <c r="B81" s="2301"/>
      <c r="C81" s="2342"/>
      <c r="D81" s="2343"/>
      <c r="E81" s="882"/>
      <c r="F81" s="1694">
        <f>G80</f>
        <v>20</v>
      </c>
      <c r="G81" s="1695">
        <v>30</v>
      </c>
      <c r="H81" s="1696">
        <f>0.045</f>
        <v>4.4999999999999998E-2</v>
      </c>
      <c r="I81" s="1516"/>
      <c r="J81" s="1697">
        <f>$L$32*(H78+(G80-F80)*H80+(G81-F81)*H81)*$B$77*$C$77</f>
        <v>340.85057940543146</v>
      </c>
      <c r="K81" s="1698">
        <f>$M$32*(H78+(G80-F80)*H80+(G81-F81)*H81)*$B$77*$C$77</f>
        <v>28.404214950452619</v>
      </c>
      <c r="L81" s="1697">
        <f t="shared" si="4"/>
        <v>426.06322425678934</v>
      </c>
      <c r="M81" s="1698">
        <f t="shared" si="4"/>
        <v>35.505268688065776</v>
      </c>
      <c r="N81" s="458"/>
      <c r="O81" s="887">
        <v>2573</v>
      </c>
      <c r="P81" s="467"/>
      <c r="Q81" s="286">
        <f>O81*$Q$76*M81+O81*(1-$Q$76)*K81</f>
        <v>82219.550700953914</v>
      </c>
      <c r="R81" s="458"/>
      <c r="S81" s="891">
        <f>IF(AND(Q81&lt;&gt;0,O81&lt;&gt;0),Q81/(1+$D$17+$D$18+$D$19)/O81/30/(($D$25*1000000/$D$8))*1000,0)</f>
        <v>3.5471284328815122</v>
      </c>
      <c r="T81" s="467" t="s">
        <v>382</v>
      </c>
      <c r="U81" s="870">
        <f>S81*O81*30*$D$11*(1+$D$24)/1000</f>
        <v>80621.291567202919</v>
      </c>
      <c r="V81" s="467" t="s">
        <v>383</v>
      </c>
      <c r="W81" s="870">
        <f>IF(O81&lt;&gt;0,U81/O81,0)</f>
        <v>31.333576201788929</v>
      </c>
      <c r="X81" s="467" t="s">
        <v>383</v>
      </c>
      <c r="Y81" s="287" t="str">
        <f>IF(O81=0,"-",IF(AND(((F81*(1-$Y$76))&lt;W81),(W81&lt;(G81*(1+$Y$76)))),"OK", "NOK"))</f>
        <v>OK</v>
      </c>
      <c r="Z81" s="151"/>
      <c r="AA81" s="249">
        <f>IF(OR(Y81="OK",Y81="-"),1,0)</f>
        <v>1</v>
      </c>
      <c r="AB81" s="473"/>
    </row>
    <row r="82" spans="1:28" s="262" customFormat="1" ht="24" hidden="1" customHeight="1" outlineLevel="1" x14ac:dyDescent="0.3">
      <c r="A82" s="458"/>
      <c r="B82" s="2301"/>
      <c r="C82" s="2342"/>
      <c r="D82" s="2343"/>
      <c r="E82" s="882"/>
      <c r="F82" s="1694">
        <f>G81</f>
        <v>30</v>
      </c>
      <c r="G82" s="1695">
        <v>40</v>
      </c>
      <c r="H82" s="1696">
        <f>0.04</f>
        <v>0.04</v>
      </c>
      <c r="I82" s="1516"/>
      <c r="J82" s="1697">
        <f>$L$32*(H78+(G80-F80)*H80+(G81-F81)*H81+(G82-F82)*H82)*$B$77*$C$77</f>
        <v>445.72768076094877</v>
      </c>
      <c r="K82" s="1698">
        <f>$M$32*(H78+(G80-F80)*H80+(G81-F81)*H81+(G82-F82)*H82)*$B$77*$C$77</f>
        <v>37.143973396745736</v>
      </c>
      <c r="L82" s="1697">
        <f t="shared" si="4"/>
        <v>557.15960095118601</v>
      </c>
      <c r="M82" s="1698">
        <f t="shared" si="4"/>
        <v>46.42996674593217</v>
      </c>
      <c r="N82" s="458"/>
      <c r="O82" s="887">
        <v>4825</v>
      </c>
      <c r="P82" s="467"/>
      <c r="Q82" s="286">
        <f>O82*$Q$76*M82+O82*(1-$Q$76)*K82</f>
        <v>201622.13059421047</v>
      </c>
      <c r="R82" s="458"/>
      <c r="S82" s="891">
        <f>IF(AND(Q82&lt;&gt;0,O82&lt;&gt;0),Q82/(1+$D$17+$D$18+$D$19)/O82/30/(($D$25*1000000/$D$8))*1000,0)</f>
        <v>4.638552566075826</v>
      </c>
      <c r="T82" s="467" t="s">
        <v>382</v>
      </c>
      <c r="U82" s="870">
        <f>S82*O82*30*$D$11*(1+$D$24)/1000</f>
        <v>197702.81445782608</v>
      </c>
      <c r="V82" s="467" t="s">
        <v>383</v>
      </c>
      <c r="W82" s="870">
        <f>IF(O82&lt;&gt;0,U82/O82,0)</f>
        <v>40.974676571570171</v>
      </c>
      <c r="X82" s="467" t="s">
        <v>383</v>
      </c>
      <c r="Y82" s="287" t="str">
        <f>IF(O82=0,"-",IF(AND(((F82*(1-$Y$76))&lt;W82),(W82&lt;(G82*(1+$Y$76)))),"OK", "NOK"))</f>
        <v>OK</v>
      </c>
      <c r="Z82" s="151"/>
      <c r="AA82" s="249">
        <f>IF(OR(Y82="OK",Y82="-"),1,0)</f>
        <v>1</v>
      </c>
      <c r="AB82" s="473"/>
    </row>
    <row r="83" spans="1:28" s="262" customFormat="1" ht="24" hidden="1" customHeight="1" outlineLevel="1" x14ac:dyDescent="0.3">
      <c r="A83" s="458"/>
      <c r="B83" s="2301"/>
      <c r="C83" s="2342"/>
      <c r="D83" s="2343"/>
      <c r="E83" s="882"/>
      <c r="F83" s="1694">
        <f>G82</f>
        <v>40</v>
      </c>
      <c r="G83" s="1695">
        <v>55</v>
      </c>
      <c r="H83" s="1696">
        <f>0.035</f>
        <v>3.5000000000000003E-2</v>
      </c>
      <c r="I83" s="1516"/>
      <c r="J83" s="1697">
        <f>$L$32*(H78+(G80-F80)*H80+(G81-F81)*H81+(G82-F82)*H82+(G83-F83)*H83)*$B$77*$C$77</f>
        <v>583.37887629006536</v>
      </c>
      <c r="K83" s="1698">
        <f>$M$32*(H78+(G80-F80)*H80+(G81-F81)*H81+(G82-F82)*H82+(G83-F83)*H83)*$B$77*$C$77</f>
        <v>48.614906357505447</v>
      </c>
      <c r="L83" s="1697">
        <f t="shared" si="4"/>
        <v>729.2235953625817</v>
      </c>
      <c r="M83" s="1698">
        <f t="shared" si="4"/>
        <v>60.768632946881809</v>
      </c>
      <c r="N83" s="458"/>
      <c r="O83" s="887">
        <v>2000</v>
      </c>
      <c r="P83" s="467"/>
      <c r="Q83" s="286">
        <f>O83*$Q$76*M83+O83*(1-$Q$76)*K83</f>
        <v>109383.53930438726</v>
      </c>
      <c r="R83" s="458"/>
      <c r="S83" s="891">
        <f>IF(AND(Q83&lt;&gt;0,O83&lt;&gt;0),Q83/(1+$D$17+$D$18+$D$19)/O83/30/(($D$25*1000000/$D$8))*1000,0)</f>
        <v>6.0710467408933599</v>
      </c>
      <c r="T83" s="467" t="s">
        <v>382</v>
      </c>
      <c r="U83" s="870">
        <f>S83*O83*30*$D$11*(1+$D$24)/1000</f>
        <v>107257.24161381602</v>
      </c>
      <c r="V83" s="1620" t="s">
        <v>383</v>
      </c>
      <c r="W83" s="870">
        <f>IF(O83&lt;&gt;0,U83/O83,0)</f>
        <v>53.62862080690801</v>
      </c>
      <c r="X83" s="467" t="s">
        <v>383</v>
      </c>
      <c r="Y83" s="287" t="str">
        <f>IF(O83=0,"-",IF(AND(((F83*(1-$Y$76))&lt;W83),(W83&lt;(G83*(1+$Y$76)))),"OK", "NOK"))</f>
        <v>OK</v>
      </c>
      <c r="Z83" s="151"/>
      <c r="AA83" s="249">
        <f>IF(OR(Y83="OK",Y83="-"),1,0)</f>
        <v>1</v>
      </c>
      <c r="AB83" s="473"/>
    </row>
    <row r="84" spans="1:28" s="262" customFormat="1" ht="24" hidden="1" customHeight="1" outlineLevel="1" x14ac:dyDescent="0.3">
      <c r="A84" s="458"/>
      <c r="B84" s="2301"/>
      <c r="C84" s="2342"/>
      <c r="D84" s="2343"/>
      <c r="E84" s="882"/>
      <c r="F84" s="1694">
        <f>G83</f>
        <v>55</v>
      </c>
      <c r="G84" s="1695">
        <v>100</v>
      </c>
      <c r="H84" s="1696">
        <f>0.03</f>
        <v>0.03</v>
      </c>
      <c r="I84" s="1516"/>
      <c r="J84" s="1697">
        <f>$L$32*(H78+(G80-F80)*H80+(G81-F81)*H81+(G82-F82)*H82+(G83-F83)*H83+(G84-F84)*H84)*$B$77*$C$77</f>
        <v>937.33909336493639</v>
      </c>
      <c r="K84" s="1698">
        <f>$M$32*(H78+(G80-F80)*H80+(G81-F81)*H81+(G82-F82)*H82+(G83-F83)*H83+(G84-F84)*H84)*$B$77*$C$77</f>
        <v>78.111591113744694</v>
      </c>
      <c r="L84" s="1697">
        <f t="shared" si="4"/>
        <v>1171.6738667061704</v>
      </c>
      <c r="M84" s="1698">
        <f t="shared" si="4"/>
        <v>97.639488892180864</v>
      </c>
      <c r="N84" s="458"/>
      <c r="O84" s="887">
        <v>1850</v>
      </c>
      <c r="P84" s="467"/>
      <c r="Q84" s="286">
        <f>O84*$Q$76*M84+O84*(1-$Q$76)*K84</f>
        <v>162569.74900548114</v>
      </c>
      <c r="R84" s="458"/>
      <c r="S84" s="891">
        <f>IF(AND(Q84&lt;&gt;0,O84&lt;&gt;0),Q84/(1+$D$17+$D$18+$D$19)/O84/30/(($D$25*1000000/$D$8))*1000,0)</f>
        <v>9.7546031904241577</v>
      </c>
      <c r="T84" s="467" t="s">
        <v>382</v>
      </c>
      <c r="U84" s="870">
        <f>S84*O84*30*$D$11*(1+$D$24)/1000</f>
        <v>159409.56892660121</v>
      </c>
      <c r="V84" s="467" t="s">
        <v>383</v>
      </c>
      <c r="W84" s="870">
        <f>IF(O84&lt;&gt;0,U84/O84,0)</f>
        <v>86.167334554919577</v>
      </c>
      <c r="X84" s="467" t="s">
        <v>383</v>
      </c>
      <c r="Y84" s="287" t="str">
        <f>IF(O84=0,"-",IF(AND(((F84*(1-$Y$76))&lt;W84),(W84&lt;(G84*(1+$Y$76)))),"OK", "NOK"))</f>
        <v>OK</v>
      </c>
      <c r="Z84" s="151"/>
      <c r="AA84" s="249">
        <f>IF(OR(Y84="OK",Y84="-"),1,0)</f>
        <v>1</v>
      </c>
      <c r="AB84" s="473"/>
    </row>
    <row r="85" spans="1:28" s="262" customFormat="1" ht="10.199999999999999" hidden="1" customHeight="1" outlineLevel="1" x14ac:dyDescent="0.3">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50000000000003" hidden="1" customHeight="1" outlineLevel="1" x14ac:dyDescent="0.3">
      <c r="A86" s="458"/>
      <c r="B86" s="2319" t="s">
        <v>387</v>
      </c>
      <c r="C86" s="2320"/>
      <c r="D86" s="2320"/>
      <c r="E86" s="2320"/>
      <c r="F86" s="2320"/>
      <c r="G86" s="2320"/>
      <c r="H86" s="2320"/>
      <c r="I86" s="2320"/>
      <c r="J86" s="2320"/>
      <c r="K86" s="2320"/>
      <c r="L86" s="2320"/>
      <c r="M86" s="2320"/>
      <c r="N86" s="458"/>
      <c r="O86" s="458"/>
      <c r="P86" s="458"/>
      <c r="Q86" s="458"/>
      <c r="R86" s="458"/>
      <c r="S86" s="458"/>
      <c r="T86" s="458"/>
      <c r="U86" s="458"/>
      <c r="V86" s="458"/>
      <c r="W86" s="459"/>
      <c r="X86" s="458"/>
      <c r="Y86" s="459"/>
      <c r="Z86" s="458"/>
      <c r="AA86" s="458"/>
      <c r="AB86" s="473"/>
    </row>
    <row r="87" spans="1:28" s="1656" customFormat="1" ht="25.2" hidden="1" customHeight="1" outlineLevel="1" x14ac:dyDescent="0.55000000000000004">
      <c r="A87" s="1649"/>
      <c r="B87" s="2305" t="s">
        <v>369</v>
      </c>
      <c r="C87" s="2312"/>
      <c r="D87" s="2312"/>
      <c r="E87" s="2313"/>
      <c r="F87" s="2312"/>
      <c r="G87" s="2312"/>
      <c r="H87" s="2312"/>
      <c r="I87" s="2313"/>
      <c r="J87" s="2312"/>
      <c r="K87" s="2312"/>
      <c r="L87" s="2312"/>
      <c r="M87" s="2312"/>
      <c r="N87" s="1649"/>
      <c r="O87" s="1651">
        <f>G10</f>
        <v>5</v>
      </c>
      <c r="P87" s="1658"/>
      <c r="Q87" s="1649"/>
      <c r="R87" s="1649"/>
      <c r="S87" s="1649"/>
      <c r="T87" s="1649"/>
      <c r="U87" s="1649"/>
      <c r="V87" s="1649"/>
      <c r="W87" s="1654"/>
      <c r="X87" s="1649"/>
      <c r="Y87" s="1654"/>
      <c r="Z87" s="1649"/>
      <c r="AA87" s="1649"/>
      <c r="AB87" s="1655"/>
    </row>
    <row r="88" spans="1:28" s="262" customFormat="1" ht="46.95" hidden="1" customHeight="1" outlineLevel="1" x14ac:dyDescent="0.3">
      <c r="A88" s="458"/>
      <c r="B88" s="2305" t="s">
        <v>370</v>
      </c>
      <c r="C88" s="2305" t="s">
        <v>371</v>
      </c>
      <c r="D88" s="2307"/>
      <c r="E88" s="1515"/>
      <c r="F88" s="2328" t="s">
        <v>372</v>
      </c>
      <c r="G88" s="2312"/>
      <c r="H88" s="2329"/>
      <c r="I88" s="881"/>
      <c r="J88" s="2308" t="s">
        <v>970</v>
      </c>
      <c r="K88" s="2309"/>
      <c r="L88" s="2309"/>
      <c r="M88" s="2309"/>
      <c r="N88" s="458"/>
      <c r="O88" s="287">
        <f>O91+O93+O94+O95+O96</f>
        <v>5</v>
      </c>
      <c r="P88" s="467"/>
      <c r="Q88" s="889">
        <f>Q91+Q93+Q94+Q95+Q96</f>
        <v>636.90989677361074</v>
      </c>
      <c r="R88" s="458"/>
      <c r="S88" s="2310">
        <f>IF(AND(Q88&lt;&gt;0,O88&lt;&gt;0),Q88/(1+$D$17+$D$18+$D$19)/(($D$25*1000000/$D$8)),0)</f>
        <v>2.1210008988409461</v>
      </c>
      <c r="T88" s="2314" t="s">
        <v>373</v>
      </c>
      <c r="U88" s="2310">
        <f>U91+U93+U94+U95+U96+Z97</f>
        <v>624.52905728693872</v>
      </c>
      <c r="V88" s="458" t="s">
        <v>374</v>
      </c>
      <c r="W88" s="2310">
        <f>W91*O91+W93*O93+W94*O94+W95*O95+W96*O96</f>
        <v>624.52905728693872</v>
      </c>
      <c r="X88" s="467" t="s">
        <v>374</v>
      </c>
      <c r="Y88" s="865" t="s">
        <v>375</v>
      </c>
      <c r="Z88" s="151"/>
      <c r="AA88" s="151"/>
      <c r="AB88" s="473"/>
    </row>
    <row r="89" spans="1:28" s="262" customFormat="1" ht="24" hidden="1" customHeight="1" outlineLevel="1" x14ac:dyDescent="0.3">
      <c r="A89" s="458"/>
      <c r="B89" s="2306"/>
      <c r="C89" s="1637" t="s">
        <v>376</v>
      </c>
      <c r="D89" s="1638" t="s">
        <v>377</v>
      </c>
      <c r="E89" s="1516"/>
      <c r="F89" s="2330"/>
      <c r="G89" s="2312"/>
      <c r="H89" s="2329"/>
      <c r="I89" s="882"/>
      <c r="J89" s="2331" t="s">
        <v>378</v>
      </c>
      <c r="K89" s="2332"/>
      <c r="L89" s="2333" t="s">
        <v>379</v>
      </c>
      <c r="M89" s="2332"/>
      <c r="N89" s="458"/>
      <c r="O89" s="894" t="s">
        <v>380</v>
      </c>
      <c r="P89" s="467"/>
      <c r="Q89" s="890">
        <v>0.25</v>
      </c>
      <c r="R89" s="458"/>
      <c r="S89" s="2311"/>
      <c r="T89" s="2315"/>
      <c r="U89" s="2311"/>
      <c r="V89" s="458"/>
      <c r="W89" s="2338"/>
      <c r="X89" s="467"/>
      <c r="Y89" s="893">
        <f>$Y$33</f>
        <v>0.1</v>
      </c>
      <c r="Z89" s="151"/>
      <c r="AA89" s="151"/>
      <c r="AB89" s="473"/>
    </row>
    <row r="90" spans="1:28" s="262" customFormat="1" ht="24" hidden="1" customHeight="1" outlineLevel="1" x14ac:dyDescent="0.3">
      <c r="A90" s="458"/>
      <c r="B90" s="2300">
        <v>2</v>
      </c>
      <c r="C90" s="2300">
        <v>1</v>
      </c>
      <c r="D90" s="2303">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hidden="1" customHeight="1" outlineLevel="1" x14ac:dyDescent="0.3">
      <c r="A91" s="458"/>
      <c r="B91" s="2301"/>
      <c r="C91" s="2302"/>
      <c r="D91" s="2304"/>
      <c r="E91" s="882"/>
      <c r="F91" s="1694" t="s">
        <v>338</v>
      </c>
      <c r="G91" s="1695">
        <v>5</v>
      </c>
      <c r="H91" s="1696">
        <v>0.35</v>
      </c>
      <c r="I91" s="1516"/>
      <c r="J91" s="1697">
        <f>$L$32*H91*$B$90*$C$90</f>
        <v>91.767463686077704</v>
      </c>
      <c r="K91" s="1698">
        <f>$M$32*H91*$B$90*$C$90</f>
        <v>7.6472886405064751</v>
      </c>
      <c r="L91" s="1697">
        <f>J91*$D$90</f>
        <v>110.12095642329324</v>
      </c>
      <c r="M91" s="1698">
        <f>K91*$D$90</f>
        <v>9.1767463686077697</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hidden="1" customHeight="1" outlineLevel="1" x14ac:dyDescent="0.3">
      <c r="A92" s="458"/>
      <c r="B92" s="2301"/>
      <c r="C92" s="2302"/>
      <c r="D92" s="2304"/>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hidden="1" customHeight="1" outlineLevel="1" x14ac:dyDescent="0.3">
      <c r="A93" s="458"/>
      <c r="B93" s="2301"/>
      <c r="C93" s="2302"/>
      <c r="D93" s="2304"/>
      <c r="E93" s="882"/>
      <c r="F93" s="1694">
        <f>G91</f>
        <v>5</v>
      </c>
      <c r="G93" s="1695">
        <v>30</v>
      </c>
      <c r="H93" s="1696">
        <v>0.05</v>
      </c>
      <c r="I93" s="1516"/>
      <c r="J93" s="1697">
        <f>$L$32*(H91+(G93-F93)*H93)*$B$90*$C$90</f>
        <v>419.50840542206953</v>
      </c>
      <c r="K93" s="1698">
        <f>$M$32*(H91+(G93-F93)*H93)*$B$90*$C$90</f>
        <v>34.959033785172458</v>
      </c>
      <c r="L93" s="1697">
        <f t="shared" ref="L93:M96" si="5">J93*$D$90</f>
        <v>503.41008650648342</v>
      </c>
      <c r="M93" s="1698">
        <f t="shared" si="5"/>
        <v>41.950840542206947</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hidden="1" customHeight="1" outlineLevel="1" x14ac:dyDescent="0.3">
      <c r="A94" s="458"/>
      <c r="B94" s="2301"/>
      <c r="C94" s="2302"/>
      <c r="D94" s="2304"/>
      <c r="E94" s="882"/>
      <c r="F94" s="1694">
        <f>G93</f>
        <v>30</v>
      </c>
      <c r="G94" s="1695">
        <v>100</v>
      </c>
      <c r="H94" s="1696">
        <v>0.03</v>
      </c>
      <c r="I94" s="1516"/>
      <c r="J94" s="1697">
        <f>$L$32*(H91+(G93-F93)*H93+(G94-F94)*H94)*$B$90*$C$90</f>
        <v>970.11318753853584</v>
      </c>
      <c r="K94" s="1698">
        <f>$M$32*(H91+(G93-F93)*H93+(G94-F94)*H94)*$B$90*$C$90</f>
        <v>80.842765628211311</v>
      </c>
      <c r="L94" s="1697">
        <f t="shared" si="5"/>
        <v>1164.1358250462429</v>
      </c>
      <c r="M94" s="1698">
        <f t="shared" si="5"/>
        <v>97.011318753853573</v>
      </c>
      <c r="N94" s="458"/>
      <c r="O94" s="887">
        <v>4</v>
      </c>
      <c r="P94" s="467"/>
      <c r="Q94" s="286">
        <f>O94*$Q$76*M94+O94*(1-$Q$76)*K94</f>
        <v>355.70816876412977</v>
      </c>
      <c r="R94" s="458"/>
      <c r="S94" s="891">
        <f>IF(AND(Q94&lt;&gt;0,O94&lt;&gt;0),Q94/(1+$D$17+$D$18+$D$19)/O94/30/(($D$25*1000000/$D$8))*1000,0)</f>
        <v>9.8713249380018873</v>
      </c>
      <c r="T94" s="467" t="s">
        <v>382</v>
      </c>
      <c r="U94" s="870">
        <f>S94*O94*30*$D$11*(1+$D$24)/1000</f>
        <v>348.79358671119593</v>
      </c>
      <c r="V94" s="458" t="s">
        <v>383</v>
      </c>
      <c r="W94" s="870">
        <f>IF(O94&lt;&gt;0,U94/O94,0)</f>
        <v>87.198396677798982</v>
      </c>
      <c r="X94" s="467" t="s">
        <v>383</v>
      </c>
      <c r="Y94" s="265" t="str">
        <f>IF(O94=0,"-",IF(AND(((F94*(1-$Y$89))&lt;W94),(W94&lt;(G94*(1+$Y$89)))),"OK", "NOK"))</f>
        <v>OK</v>
      </c>
      <c r="Z94" s="151"/>
      <c r="AA94" s="249">
        <f>IF(OR(Y94="OK",Y94="-"),1,0)</f>
        <v>1</v>
      </c>
      <c r="AB94" s="473"/>
    </row>
    <row r="95" spans="1:28" s="262" customFormat="1" ht="24" hidden="1" customHeight="1" outlineLevel="1" x14ac:dyDescent="0.3">
      <c r="A95" s="458"/>
      <c r="B95" s="2301"/>
      <c r="C95" s="2302"/>
      <c r="D95" s="2304"/>
      <c r="E95" s="882"/>
      <c r="F95" s="1694">
        <f>G94</f>
        <v>100</v>
      </c>
      <c r="G95" s="1695">
        <v>500</v>
      </c>
      <c r="H95" s="1696">
        <v>0.02</v>
      </c>
      <c r="I95" s="1516"/>
      <c r="J95" s="1697">
        <f>$L$32*(H91+(G93-F93)*H93+(G94-F94)*H94+(G95-F95)*H95)*$B$90*$C$90</f>
        <v>3067.655214648883</v>
      </c>
      <c r="K95" s="1698">
        <f>$M$32*(H91+(G93-F93)*H93+(G94-F94)*H94+(G95-F95)*H95)*$B$90*$C$90</f>
        <v>255.63793455407361</v>
      </c>
      <c r="L95" s="1697">
        <f t="shared" si="5"/>
        <v>3681.1862575786595</v>
      </c>
      <c r="M95" s="1698">
        <f t="shared" si="5"/>
        <v>306.76552146488831</v>
      </c>
      <c r="N95" s="458"/>
      <c r="O95" s="887">
        <v>1</v>
      </c>
      <c r="P95" s="467"/>
      <c r="Q95" s="286">
        <f>O95*$Q$76*M95+O95*(1-$Q$76)*K95</f>
        <v>281.20172800948097</v>
      </c>
      <c r="R95" s="458"/>
      <c r="S95" s="891">
        <f>IF(AND(Q95&lt;&gt;0,O95&lt;&gt;0),Q95/(1+$D$17+$D$18+$D$19)/O95/30/(($D$25*1000000/$D$8))*1000,0)</f>
        <v>31.21473020935732</v>
      </c>
      <c r="T95" s="467" t="s">
        <v>382</v>
      </c>
      <c r="U95" s="870">
        <f>S95*O95*30*$D$11*(1+$D$24)/1000</f>
        <v>275.7354705757428</v>
      </c>
      <c r="V95" s="458" t="s">
        <v>383</v>
      </c>
      <c r="W95" s="870">
        <f>IF(O95&lt;&gt;0,U95/O95,0)</f>
        <v>275.7354705757428</v>
      </c>
      <c r="X95" s="467" t="s">
        <v>383</v>
      </c>
      <c r="Y95" s="265" t="str">
        <f>IF(O95=0,"-",IF(AND(((F95*(1-$Y$89))&lt;W95),(W95&lt;(G95*(1+$Y$89)))),"OK", "NOK"))</f>
        <v>OK</v>
      </c>
      <c r="Z95" s="151"/>
      <c r="AA95" s="249">
        <f>IF(OR(Y95="OK",Y95="-"),1,0)</f>
        <v>1</v>
      </c>
      <c r="AB95" s="473"/>
    </row>
    <row r="96" spans="1:28" s="262" customFormat="1" ht="24" hidden="1" customHeight="1" outlineLevel="1" x14ac:dyDescent="0.3">
      <c r="A96" s="458"/>
      <c r="B96" s="2301"/>
      <c r="C96" s="2302"/>
      <c r="D96" s="2304"/>
      <c r="E96" s="882"/>
      <c r="F96" s="1694">
        <f>G95</f>
        <v>500</v>
      </c>
      <c r="G96" s="1695">
        <v>1000</v>
      </c>
      <c r="H96" s="1696">
        <v>0.01</v>
      </c>
      <c r="I96" s="1516"/>
      <c r="J96" s="1697">
        <f>$L$32*(H91+(G93-F93)*H93+(G94-F94)*H94+(G95-F95)*H95+(G96-F96)*H96)*$B$90*$C$90</f>
        <v>4378.6189815928501</v>
      </c>
      <c r="K96" s="1698">
        <f>$M$32*(H91+(G93-F93)*H93+(G94-F94)*H94+(G95-F95)*H95+(G96-F96)*H96)*$B$90*$C$90</f>
        <v>364.88491513273755</v>
      </c>
      <c r="L96" s="1697">
        <f t="shared" si="5"/>
        <v>5254.3427779114199</v>
      </c>
      <c r="M96" s="1698">
        <f t="shared" si="5"/>
        <v>437.86189815928503</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hidden="1" customHeight="1" outlineLevel="1" x14ac:dyDescent="0.3">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3">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3">
      <c r="A99" s="65"/>
      <c r="H99" s="66"/>
      <c r="J99" s="66"/>
      <c r="K99" s="66"/>
      <c r="L99" s="66"/>
      <c r="M99" s="66"/>
      <c r="T99" s="55"/>
      <c r="U99" s="67"/>
      <c r="V99" s="55"/>
    </row>
    <row r="100" spans="1:28" ht="14.25" customHeight="1" x14ac:dyDescent="0.3">
      <c r="A100" s="65"/>
      <c r="H100" s="66"/>
      <c r="J100" s="66"/>
      <c r="K100" s="66"/>
      <c r="L100" s="66"/>
      <c r="M100" s="66"/>
      <c r="T100" s="55"/>
      <c r="U100" s="67"/>
      <c r="V100" s="55"/>
    </row>
    <row r="101" spans="1:28" ht="14.25" customHeight="1" x14ac:dyDescent="0.3">
      <c r="A101" s="65"/>
      <c r="H101" s="66"/>
      <c r="J101" s="66"/>
      <c r="K101" s="66"/>
      <c r="L101" s="66"/>
      <c r="M101" s="66"/>
      <c r="T101" s="55"/>
      <c r="U101" s="67"/>
      <c r="V101" s="55"/>
    </row>
    <row r="102" spans="1:28" ht="14.25" customHeight="1" x14ac:dyDescent="0.3">
      <c r="A102" s="65"/>
      <c r="H102" s="66"/>
      <c r="J102" s="66"/>
      <c r="K102" s="66"/>
      <c r="L102" s="66"/>
      <c r="M102" s="66"/>
      <c r="T102" s="55"/>
      <c r="U102" s="67"/>
      <c r="V102" s="55"/>
    </row>
    <row r="103" spans="1:28" ht="14.25" customHeight="1" x14ac:dyDescent="0.3">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4140625" defaultRowHeight="15" customHeight="1" outlineLevelRow="1" x14ac:dyDescent="0.3"/>
  <cols>
    <col min="1" max="1" width="1" style="65" customWidth="1"/>
    <col min="2" max="2" width="55.6640625" style="65" customWidth="1"/>
    <col min="3" max="3" width="10.6640625" style="65" customWidth="1"/>
    <col min="4" max="4" width="11.109375" style="65" bestFit="1" customWidth="1"/>
    <col min="5" max="5" width="18.33203125" style="65" customWidth="1"/>
    <col min="6" max="8" width="23.33203125" style="65" customWidth="1"/>
    <col min="9" max="9" width="10.6640625" style="65" customWidth="1"/>
    <col min="10" max="10" width="15.6640625" style="65" customWidth="1"/>
    <col min="11" max="12" width="18.33203125" style="65" customWidth="1"/>
    <col min="13" max="13" width="10.44140625" style="65" customWidth="1"/>
    <col min="14" max="14" width="15.44140625" style="65" customWidth="1"/>
    <col min="15" max="15" width="18.44140625" style="65" customWidth="1"/>
    <col min="16" max="16" width="14.6640625" style="65" customWidth="1"/>
    <col min="17" max="17" width="11.44140625" style="65" customWidth="1"/>
    <col min="18" max="18" width="13.33203125" style="65" customWidth="1"/>
    <col min="19" max="52" width="11.44140625" style="65" customWidth="1"/>
    <col min="53" max="54" width="10.44140625" style="65" customWidth="1"/>
    <col min="55" max="55" width="10.33203125" style="65" customWidth="1"/>
    <col min="56" max="58" width="8.44140625" style="65" customWidth="1"/>
    <col min="59" max="16384" width="14.44140625" style="65"/>
  </cols>
  <sheetData>
    <row r="1" spans="1:20" ht="4.95" customHeight="1" x14ac:dyDescent="0.3">
      <c r="A1" s="65" t="s">
        <v>1099</v>
      </c>
      <c r="E1" s="1588"/>
      <c r="F1" s="1588"/>
      <c r="G1" s="1588"/>
      <c r="H1" s="1588"/>
      <c r="I1" s="1588"/>
      <c r="J1" s="1588"/>
      <c r="K1" s="1588"/>
      <c r="L1" s="1588"/>
      <c r="M1" s="1588"/>
      <c r="N1" s="1588"/>
      <c r="O1" s="1588"/>
      <c r="P1" s="1588"/>
      <c r="Q1" s="1588"/>
      <c r="R1" s="1589"/>
      <c r="S1" s="1588"/>
    </row>
    <row r="2" spans="1:20" s="206" customFormat="1" ht="25.2" customHeight="1" x14ac:dyDescent="0.3">
      <c r="B2" s="2355" t="s">
        <v>869</v>
      </c>
      <c r="C2" s="2355"/>
      <c r="D2" s="2355"/>
      <c r="F2" s="293"/>
      <c r="G2" s="293"/>
      <c r="H2" s="293"/>
      <c r="I2" s="1591" t="s">
        <v>473</v>
      </c>
      <c r="J2" s="1592"/>
      <c r="K2" s="1592"/>
      <c r="L2" s="293"/>
      <c r="M2" s="1729"/>
      <c r="N2" s="1730"/>
      <c r="O2" s="293"/>
      <c r="P2" s="293"/>
      <c r="Q2" s="293"/>
      <c r="R2" s="293"/>
      <c r="S2" s="293"/>
      <c r="T2" s="293"/>
    </row>
    <row r="3" spans="1:20" s="206" customFormat="1" ht="19.95" customHeight="1" x14ac:dyDescent="0.3">
      <c r="B3" s="2355"/>
      <c r="C3" s="2355"/>
      <c r="D3" s="2355"/>
      <c r="F3" s="293"/>
      <c r="G3" s="293"/>
      <c r="H3" s="293"/>
      <c r="I3" s="1592" t="str">
        <f>Apresentação!I2</f>
        <v>RC-RSU V.1.0 - 15/10/2020</v>
      </c>
      <c r="J3" s="1592"/>
      <c r="K3" s="1592"/>
      <c r="L3" s="293"/>
      <c r="M3" s="1708"/>
      <c r="N3" s="1731"/>
      <c r="O3" s="293"/>
      <c r="P3" s="293"/>
      <c r="Q3" s="293"/>
      <c r="R3" s="293"/>
      <c r="S3" s="293"/>
      <c r="T3" s="293"/>
    </row>
    <row r="4" spans="1:20" s="206" customFormat="1" ht="19.95" customHeight="1" x14ac:dyDescent="0.3">
      <c r="B4" s="2355"/>
      <c r="C4" s="2355"/>
      <c r="D4" s="2355"/>
      <c r="F4" s="1469"/>
      <c r="G4" s="1469"/>
      <c r="H4" s="1469"/>
      <c r="I4" s="1469"/>
      <c r="J4" s="1469"/>
      <c r="K4" s="1469"/>
      <c r="L4" s="1469"/>
      <c r="M4" s="1708"/>
      <c r="N4" s="1732"/>
      <c r="O4" s="1469"/>
      <c r="P4" s="1469"/>
      <c r="Q4" s="1469"/>
      <c r="R4" s="1469"/>
      <c r="S4" s="1469"/>
      <c r="T4" s="293"/>
    </row>
    <row r="5" spans="1:20" s="206" customFormat="1" ht="12.45" customHeight="1" thickBot="1" x14ac:dyDescent="0.35">
      <c r="F5" s="1469"/>
      <c r="G5" s="1469"/>
      <c r="H5" s="1469"/>
      <c r="I5" s="1469"/>
      <c r="J5" s="1469"/>
      <c r="K5" s="1469"/>
      <c r="L5" s="1469"/>
      <c r="M5" s="1469"/>
      <c r="N5" s="1469"/>
      <c r="O5" s="1469"/>
      <c r="P5" s="1469"/>
      <c r="Q5" s="1469"/>
      <c r="R5" s="1469"/>
      <c r="S5" s="1593"/>
      <c r="T5" s="293"/>
    </row>
    <row r="6" spans="1:20" s="1488" customFormat="1" ht="19.95" customHeight="1" thickTop="1" thickBot="1" x14ac:dyDescent="0.35">
      <c r="B6" s="1934" t="s">
        <v>870</v>
      </c>
      <c r="C6" s="1946" t="s">
        <v>1101</v>
      </c>
      <c r="D6" s="1977" t="s">
        <v>1100</v>
      </c>
      <c r="E6" s="1484"/>
      <c r="F6" s="2352" t="s">
        <v>389</v>
      </c>
      <c r="G6" s="2353"/>
      <c r="H6" s="2354"/>
      <c r="I6" s="1485"/>
      <c r="J6" s="1485"/>
      <c r="K6" s="1485"/>
      <c r="L6" s="1485"/>
      <c r="M6" s="1485"/>
      <c r="N6" s="1485"/>
      <c r="O6" s="1485"/>
      <c r="P6" s="1485"/>
      <c r="Q6" s="1485"/>
      <c r="R6" s="1485"/>
      <c r="S6" s="1486"/>
      <c r="T6" s="1487"/>
    </row>
    <row r="7" spans="1:20" s="1490" customFormat="1" ht="19.95" customHeight="1" outlineLevel="1" thickTop="1" thickBot="1" x14ac:dyDescent="0.35">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7" customHeight="1" outlineLevel="1" thickTop="1" x14ac:dyDescent="0.3">
      <c r="B8" s="1923" t="s">
        <v>660</v>
      </c>
      <c r="C8" s="1948">
        <f>'R&amp;C-Painel de Controle'!D27</f>
        <v>4.7000000000000002E-3</v>
      </c>
      <c r="D8" s="1929">
        <f>C8</f>
        <v>4.7000000000000002E-3</v>
      </c>
      <c r="E8" s="206" t="s">
        <v>195</v>
      </c>
      <c r="F8" s="1963" t="s">
        <v>393</v>
      </c>
      <c r="G8" s="1964">
        <f>SUMIF(C33:BC33,1,C159:BC159)</f>
        <v>-130.83887059858034</v>
      </c>
      <c r="H8" s="1965">
        <f>SUMIF(C33:BC33,1,C178:BC178)</f>
        <v>-147.63119808902877</v>
      </c>
      <c r="I8" s="293"/>
      <c r="J8" s="293"/>
      <c r="K8" s="293"/>
      <c r="L8" s="293"/>
      <c r="M8" s="293"/>
      <c r="N8" s="293"/>
      <c r="O8" s="293"/>
      <c r="P8" s="293"/>
      <c r="Q8" s="293"/>
      <c r="R8" s="293"/>
      <c r="S8" s="295"/>
      <c r="T8" s="293"/>
    </row>
    <row r="9" spans="1:20" s="206" customFormat="1" ht="17.7" customHeight="1" outlineLevel="1" x14ac:dyDescent="0.3">
      <c r="B9" s="1923" t="s">
        <v>392</v>
      </c>
      <c r="C9" s="1949">
        <v>0</v>
      </c>
      <c r="D9" s="1930">
        <f>C9</f>
        <v>0</v>
      </c>
      <c r="F9" s="1966" t="s">
        <v>394</v>
      </c>
      <c r="G9" s="1967" t="e">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#NUM!</v>
      </c>
      <c r="H9" s="1968">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0.84042738813951368</v>
      </c>
      <c r="I9" s="296"/>
      <c r="J9" s="296"/>
      <c r="K9" s="293"/>
      <c r="L9" s="293"/>
      <c r="M9" s="293"/>
      <c r="N9" s="293"/>
      <c r="O9" s="293"/>
      <c r="P9" s="293"/>
      <c r="Q9" s="293"/>
      <c r="R9" s="293"/>
      <c r="S9" s="295"/>
      <c r="T9" s="293"/>
    </row>
    <row r="10" spans="1:20" s="206" customFormat="1" ht="17.7" customHeight="1" outlineLevel="1" x14ac:dyDescent="0.3">
      <c r="B10" s="1923" t="s">
        <v>1006</v>
      </c>
      <c r="C10" s="1950">
        <v>0.05</v>
      </c>
      <c r="D10" s="1931">
        <f>C10</f>
        <v>0.05</v>
      </c>
      <c r="E10" s="206" t="s">
        <v>195</v>
      </c>
      <c r="F10" s="1966" t="s">
        <v>395</v>
      </c>
      <c r="G10" s="1967" t="e">
        <f>G9-C28</f>
        <v>#NUM!</v>
      </c>
      <c r="H10" s="1968">
        <f>H9-C28</f>
        <v>0.74302738813951363</v>
      </c>
      <c r="I10" s="293"/>
      <c r="J10" s="298"/>
      <c r="K10" s="293"/>
      <c r="L10" s="293"/>
      <c r="M10" s="293"/>
      <c r="N10" s="293"/>
      <c r="O10" s="293"/>
      <c r="P10" s="293"/>
      <c r="Q10" s="293"/>
      <c r="R10" s="293"/>
      <c r="S10" s="295"/>
      <c r="T10" s="293"/>
    </row>
    <row r="11" spans="1:20" s="206" customFormat="1" ht="19.95" customHeight="1" outlineLevel="1" thickBot="1" x14ac:dyDescent="0.35">
      <c r="B11" s="1923" t="s">
        <v>1007</v>
      </c>
      <c r="C11" s="1950">
        <v>0.12</v>
      </c>
      <c r="D11" s="1931">
        <f>C11</f>
        <v>0.12</v>
      </c>
      <c r="E11" s="206" t="s">
        <v>195</v>
      </c>
      <c r="F11" s="1966" t="s">
        <v>396</v>
      </c>
      <c r="G11" s="1969">
        <f>SUMIF(C33:BC33,1,C63:BC63)</f>
        <v>142.64821621029319</v>
      </c>
      <c r="H11" s="1970">
        <f>SUMIF(C33:BC33,1,C63:BC63)</f>
        <v>142.64821621029319</v>
      </c>
      <c r="I11" s="298"/>
      <c r="J11" s="298"/>
      <c r="K11" s="293"/>
      <c r="L11" s="293"/>
      <c r="M11" s="293"/>
      <c r="N11" s="293"/>
      <c r="O11" s="293"/>
      <c r="P11" s="293"/>
      <c r="Q11" s="293"/>
      <c r="R11" s="293"/>
      <c r="S11" s="295"/>
      <c r="T11" s="293"/>
    </row>
    <row r="12" spans="1:20" s="206" customFormat="1" ht="19.95" customHeight="1" outlineLevel="1" thickTop="1" thickBot="1" x14ac:dyDescent="0.35">
      <c r="B12" s="1924" t="s">
        <v>871</v>
      </c>
      <c r="C12" s="1951" t="s">
        <v>1101</v>
      </c>
      <c r="D12" s="1979" t="s">
        <v>1100</v>
      </c>
      <c r="F12" s="1966" t="s">
        <v>397</v>
      </c>
      <c r="G12" s="1967">
        <f>G8/G11</f>
        <v>-0.91721350658669709</v>
      </c>
      <c r="H12" s="1968">
        <f>H8/H11</f>
        <v>-1.0349319606730283</v>
      </c>
      <c r="I12" s="298"/>
      <c r="J12" s="298"/>
      <c r="K12" s="293"/>
      <c r="L12" s="293"/>
      <c r="M12" s="293"/>
      <c r="N12" s="293"/>
      <c r="O12" s="293"/>
      <c r="P12" s="293"/>
      <c r="Q12" s="293"/>
      <c r="R12" s="293"/>
      <c r="S12" s="295"/>
      <c r="T12" s="293"/>
    </row>
    <row r="13" spans="1:20" s="206" customFormat="1" ht="17.7" customHeight="1" outlineLevel="1" x14ac:dyDescent="0.3">
      <c r="B13" s="1925" t="s">
        <v>496</v>
      </c>
      <c r="C13" s="1952" t="s">
        <v>289</v>
      </c>
      <c r="D13" s="1978" t="s">
        <v>289</v>
      </c>
      <c r="F13" s="1971" t="s">
        <v>398</v>
      </c>
      <c r="G13" s="1972">
        <f>IF(G8&lt;0,SUM(C164:BC164),SUM(C164:BC164))</f>
        <v>53</v>
      </c>
      <c r="H13" s="1973">
        <f>IF(H8&lt;0,SUM(C183:BC183),SUM(C183:BC183))</f>
        <v>53</v>
      </c>
      <c r="I13" s="296"/>
      <c r="J13" s="296"/>
      <c r="K13" s="293"/>
      <c r="L13" s="293"/>
      <c r="M13" s="293"/>
      <c r="N13" s="293"/>
      <c r="O13" s="293"/>
      <c r="P13" s="293"/>
      <c r="Q13" s="293"/>
      <c r="R13" s="293"/>
      <c r="S13" s="295"/>
      <c r="T13" s="293"/>
    </row>
    <row r="14" spans="1:20" s="206" customFormat="1" ht="19.95" customHeight="1" outlineLevel="1" thickBot="1" x14ac:dyDescent="0.35">
      <c r="B14" s="1943" t="s">
        <v>661</v>
      </c>
      <c r="C14" s="1953">
        <v>0.7</v>
      </c>
      <c r="D14" s="1945">
        <v>0.3</v>
      </c>
      <c r="E14" s="206" t="s">
        <v>195</v>
      </c>
      <c r="F14" s="1974" t="s">
        <v>662</v>
      </c>
      <c r="G14" s="1975">
        <f>(SUMIF(C33:BC33,1,C159:BC159)+SUMIF(C33:BC33,1,C63:BC63))/SUMIF(C33:BC33,1,C63:BC63)</f>
        <v>8.2786493413302881E-2</v>
      </c>
      <c r="H14" s="1976">
        <f>(SUMIF(C33:BC33,1,C178:BC178)+SUMIF(C33:BC33,1,C63:BC63))/SUMIF(C33:BC33,1,C63:BC63)</f>
        <v>-3.4931960673028208E-2</v>
      </c>
      <c r="I14" s="296"/>
      <c r="J14" s="296"/>
      <c r="K14" s="293"/>
      <c r="L14" s="293"/>
      <c r="M14" s="293"/>
      <c r="N14" s="293"/>
      <c r="O14" s="293"/>
      <c r="P14" s="293"/>
      <c r="Q14" s="293"/>
      <c r="R14" s="293"/>
      <c r="S14" s="295"/>
      <c r="T14" s="293"/>
    </row>
    <row r="15" spans="1:20" s="206" customFormat="1" ht="4.95" customHeight="1" outlineLevel="1" thickTop="1" thickBot="1" x14ac:dyDescent="0.35">
      <c r="B15" s="1918"/>
      <c r="C15" s="1954"/>
      <c r="D15" s="1932"/>
      <c r="F15" s="1466"/>
      <c r="G15" s="1467"/>
      <c r="H15" s="1468"/>
      <c r="I15" s="296"/>
      <c r="J15" s="296"/>
      <c r="K15" s="293"/>
      <c r="L15" s="293"/>
      <c r="M15" s="293"/>
      <c r="N15" s="293"/>
      <c r="O15" s="293"/>
      <c r="P15" s="293"/>
      <c r="Q15" s="293"/>
      <c r="R15" s="293"/>
      <c r="S15" s="295"/>
      <c r="T15" s="293"/>
    </row>
    <row r="16" spans="1:20" s="1494" customFormat="1" ht="40.200000000000003" customHeight="1" outlineLevel="1" thickTop="1" thickBot="1" x14ac:dyDescent="0.35">
      <c r="B16" s="1926" t="s">
        <v>764</v>
      </c>
      <c r="C16" s="2005">
        <v>0.125</v>
      </c>
      <c r="D16" s="2006">
        <v>0.125</v>
      </c>
      <c r="E16" s="206" t="s">
        <v>399</v>
      </c>
      <c r="F16" s="2366" t="s">
        <v>872</v>
      </c>
      <c r="G16" s="1986" t="s">
        <v>310</v>
      </c>
      <c r="H16" s="1987" t="s">
        <v>400</v>
      </c>
      <c r="I16" s="1936"/>
      <c r="J16" s="1935"/>
      <c r="K16" s="1495"/>
      <c r="L16" s="1495"/>
      <c r="M16" s="1495"/>
      <c r="N16" s="1495"/>
      <c r="O16" s="1495"/>
      <c r="P16" s="1495"/>
      <c r="Q16" s="1495"/>
      <c r="R16" s="1495"/>
      <c r="S16" s="1496"/>
      <c r="T16" s="1495"/>
    </row>
    <row r="17" spans="1:58" s="206" customFormat="1" ht="17.7" customHeight="1" outlineLevel="1" thickTop="1" x14ac:dyDescent="0.3">
      <c r="B17" s="1927" t="s">
        <v>874</v>
      </c>
      <c r="C17" s="1955" t="s">
        <v>289</v>
      </c>
      <c r="D17" s="1980" t="s">
        <v>289</v>
      </c>
      <c r="E17" s="1494"/>
      <c r="F17" s="2367"/>
      <c r="G17" s="2370" t="s">
        <v>873</v>
      </c>
      <c r="H17" s="2372"/>
      <c r="I17" s="1937"/>
      <c r="J17" s="1938"/>
      <c r="K17" s="293"/>
      <c r="L17" s="293"/>
      <c r="M17" s="293"/>
      <c r="N17" s="293"/>
      <c r="O17" s="293"/>
      <c r="P17" s="293"/>
      <c r="Q17" s="293"/>
      <c r="R17" s="293"/>
      <c r="S17" s="295"/>
      <c r="T17" s="293"/>
    </row>
    <row r="18" spans="1:58" s="206" customFormat="1" ht="17.7" customHeight="1" outlineLevel="1" x14ac:dyDescent="0.3">
      <c r="B18" s="1923" t="s">
        <v>663</v>
      </c>
      <c r="C18" s="1956">
        <f>1-C14</f>
        <v>0.30000000000000004</v>
      </c>
      <c r="D18" s="2097">
        <f>1-D14</f>
        <v>0.7</v>
      </c>
      <c r="E18" s="206" t="s">
        <v>195</v>
      </c>
      <c r="F18" s="2367"/>
      <c r="G18" s="2371"/>
      <c r="H18" s="2373"/>
      <c r="I18" s="1941"/>
      <c r="J18" s="1469"/>
      <c r="K18" s="293"/>
      <c r="L18" s="293"/>
      <c r="M18" s="293"/>
      <c r="N18" s="293"/>
      <c r="O18" s="293"/>
      <c r="P18" s="293"/>
      <c r="Q18" s="293"/>
      <c r="R18" s="293"/>
      <c r="S18" s="295"/>
    </row>
    <row r="19" spans="1:58" s="206" customFormat="1" ht="2.7" customHeight="1" outlineLevel="1" x14ac:dyDescent="0.3">
      <c r="B19" s="1918"/>
      <c r="C19" s="1954"/>
      <c r="D19" s="1932"/>
      <c r="F19" s="2367"/>
      <c r="G19" s="1921"/>
      <c r="H19" s="1983"/>
      <c r="I19" s="1942"/>
      <c r="J19" s="293"/>
      <c r="K19" s="293"/>
      <c r="L19" s="293"/>
      <c r="M19" s="293"/>
      <c r="N19" s="293"/>
      <c r="O19" s="293"/>
      <c r="P19" s="293"/>
      <c r="Q19" s="293"/>
      <c r="R19" s="293"/>
      <c r="S19" s="295"/>
    </row>
    <row r="20" spans="1:58" s="206" customFormat="1" ht="17.7" customHeight="1" outlineLevel="1" x14ac:dyDescent="0.3">
      <c r="B20" s="1923" t="s">
        <v>765</v>
      </c>
      <c r="C20" s="2003" t="s">
        <v>1104</v>
      </c>
      <c r="D20" s="2004" t="s">
        <v>1104</v>
      </c>
      <c r="F20" s="2367"/>
      <c r="G20" s="1473">
        <v>0.05</v>
      </c>
      <c r="H20" s="1474">
        <v>4.3499999999999997E-2</v>
      </c>
      <c r="I20" s="1939"/>
      <c r="J20" s="1469"/>
      <c r="K20" s="293"/>
      <c r="L20" s="293"/>
      <c r="M20" s="293"/>
      <c r="N20" s="293"/>
      <c r="O20" s="293"/>
      <c r="P20" s="293"/>
      <c r="Q20" s="293"/>
      <c r="R20" s="293"/>
      <c r="S20" s="295"/>
      <c r="T20" s="293"/>
    </row>
    <row r="21" spans="1:58" s="206" customFormat="1" ht="17.7" customHeight="1" outlineLevel="1" x14ac:dyDescent="0.3">
      <c r="B21" s="1943" t="s">
        <v>664</v>
      </c>
      <c r="C21" s="1957">
        <v>0.05</v>
      </c>
      <c r="D21" s="2095">
        <v>0.05</v>
      </c>
      <c r="E21" s="206" t="s">
        <v>399</v>
      </c>
      <c r="F21" s="2367"/>
      <c r="G21" s="1475">
        <v>20</v>
      </c>
      <c r="H21" s="1476">
        <v>20</v>
      </c>
      <c r="I21" s="1940"/>
      <c r="J21" s="1469"/>
      <c r="K21" s="293"/>
      <c r="L21" s="293"/>
      <c r="M21" s="293"/>
      <c r="N21" s="293"/>
      <c r="O21" s="293"/>
      <c r="P21" s="293"/>
      <c r="Q21" s="293"/>
      <c r="R21" s="293"/>
      <c r="S21" s="295"/>
      <c r="T21" s="293"/>
    </row>
    <row r="22" spans="1:58" s="206" customFormat="1" ht="17.7" customHeight="1" outlineLevel="1" x14ac:dyDescent="0.3">
      <c r="B22" s="1944" t="s">
        <v>665</v>
      </c>
      <c r="C22" s="1958">
        <v>20</v>
      </c>
      <c r="D22" s="2096">
        <v>20</v>
      </c>
      <c r="E22" s="206" t="s">
        <v>388</v>
      </c>
      <c r="F22" s="2367"/>
      <c r="G22" s="1475">
        <v>2</v>
      </c>
      <c r="H22" s="1476">
        <v>2</v>
      </c>
      <c r="I22" s="1940"/>
      <c r="J22" s="1469"/>
      <c r="K22" s="293"/>
      <c r="L22" s="293"/>
      <c r="M22" s="293"/>
      <c r="N22" s="293"/>
      <c r="O22" s="293"/>
      <c r="P22" s="293"/>
      <c r="Q22" s="293"/>
      <c r="R22" s="293"/>
      <c r="S22" s="295"/>
      <c r="T22" s="293"/>
    </row>
    <row r="23" spans="1:58" s="206" customFormat="1" ht="17.7" customHeight="1" outlineLevel="1" thickBot="1" x14ac:dyDescent="0.35">
      <c r="B23" s="1944" t="s">
        <v>666</v>
      </c>
      <c r="C23" s="1958">
        <v>2</v>
      </c>
      <c r="D23" s="2096">
        <v>2</v>
      </c>
      <c r="E23" s="206" t="s">
        <v>388</v>
      </c>
      <c r="F23" s="2368"/>
      <c r="G23" s="1477">
        <v>4.3499999999999997E-2</v>
      </c>
      <c r="H23" s="1478">
        <v>4.3499999999999997E-2</v>
      </c>
      <c r="I23" s="1939"/>
      <c r="J23" s="1469"/>
      <c r="K23" s="293"/>
      <c r="L23" s="293"/>
      <c r="M23" s="293"/>
      <c r="N23" s="293"/>
      <c r="O23" s="293"/>
      <c r="P23" s="293"/>
      <c r="Q23" s="293"/>
      <c r="R23" s="293"/>
      <c r="S23" s="295"/>
      <c r="T23" s="293"/>
    </row>
    <row r="24" spans="1:58" s="206" customFormat="1" ht="17.7" customHeight="1" outlineLevel="1" thickTop="1" thickBot="1" x14ac:dyDescent="0.35">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7" customHeight="1" outlineLevel="1" thickTop="1" thickBot="1" x14ac:dyDescent="0.35">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7" customHeight="1" outlineLevel="1" thickTop="1" thickBot="1" x14ac:dyDescent="0.35">
      <c r="B26" s="1928" t="s">
        <v>767</v>
      </c>
      <c r="C26" s="1960">
        <v>0.25</v>
      </c>
      <c r="D26" s="1931">
        <f>C26</f>
        <v>0.25</v>
      </c>
      <c r="E26" s="206" t="s">
        <v>195</v>
      </c>
      <c r="F26" s="2369" t="s">
        <v>1102</v>
      </c>
      <c r="G26" s="2361"/>
      <c r="H26" s="1470">
        <f>'R&amp;C-Painel de Controle'!D33</f>
        <v>237.54494967426146</v>
      </c>
      <c r="I26" s="1608" t="s">
        <v>295</v>
      </c>
      <c r="J26" s="1606"/>
      <c r="K26" s="2360" t="s">
        <v>653</v>
      </c>
      <c r="L26" s="2361"/>
      <c r="M26" s="1471">
        <f>G8</f>
        <v>-130.83887059858034</v>
      </c>
      <c r="N26" s="1608" t="s">
        <v>304</v>
      </c>
      <c r="O26" s="2350" t="s">
        <v>654</v>
      </c>
      <c r="P26" s="2350"/>
      <c r="Q26" s="2351"/>
      <c r="R26" s="1472">
        <f>G14</f>
        <v>8.2786493413302881E-2</v>
      </c>
      <c r="S26" s="1610" t="s">
        <v>195</v>
      </c>
      <c r="T26" s="293"/>
    </row>
    <row r="27" spans="1:58" s="206" customFormat="1" ht="19.95" customHeight="1" outlineLevel="1" thickTop="1" x14ac:dyDescent="0.3">
      <c r="B27" s="1924" t="s">
        <v>401</v>
      </c>
      <c r="C27" s="1961" t="s">
        <v>289</v>
      </c>
      <c r="D27" s="1981" t="s">
        <v>289</v>
      </c>
      <c r="F27" s="2365" t="s">
        <v>655</v>
      </c>
      <c r="G27" s="2363"/>
      <c r="H27" s="911">
        <f>'R&amp;C-Painel de Controle'!D32</f>
        <v>35</v>
      </c>
      <c r="I27" s="1609" t="s">
        <v>388</v>
      </c>
      <c r="J27" s="1607"/>
      <c r="K27" s="2362" t="s">
        <v>656</v>
      </c>
      <c r="L27" s="2363"/>
      <c r="M27" s="912" t="e">
        <f>G9</f>
        <v>#NUM!</v>
      </c>
      <c r="N27" s="1609" t="s">
        <v>195</v>
      </c>
      <c r="O27" s="1607"/>
      <c r="P27" s="1611"/>
      <c r="Q27" s="1612"/>
      <c r="R27" s="1612"/>
      <c r="S27" s="1613"/>
      <c r="T27" s="293"/>
    </row>
    <row r="28" spans="1:58" s="206" customFormat="1" ht="18" customHeight="1" outlineLevel="1" thickBot="1" x14ac:dyDescent="0.35">
      <c r="B28" s="1928" t="s">
        <v>668</v>
      </c>
      <c r="C28" s="1962">
        <f>C14*C16+C18*C21*(1-(C25+C26))</f>
        <v>9.74E-2</v>
      </c>
      <c r="D28" s="1933">
        <f>D14*D16+D18*D21*(1-(D25+D26))</f>
        <v>6.0600000000000001E-2</v>
      </c>
      <c r="E28" s="206" t="s">
        <v>399</v>
      </c>
      <c r="F28" s="2356" t="s">
        <v>657</v>
      </c>
      <c r="G28" s="2357"/>
      <c r="H28" s="1988">
        <f>H26*('R&amp;C-Painel de Controle'!D7*30/'R&amp;C-Painel de Controle'!D6)</f>
        <v>4.3284745091848595</v>
      </c>
      <c r="I28" s="1989" t="s">
        <v>299</v>
      </c>
      <c r="J28" s="1607"/>
      <c r="K28" s="2364" t="s">
        <v>658</v>
      </c>
      <c r="L28" s="2357"/>
      <c r="M28" s="1990">
        <f>G13</f>
        <v>53</v>
      </c>
      <c r="N28" s="1609" t="s">
        <v>388</v>
      </c>
      <c r="O28" s="1607"/>
      <c r="P28" s="1607"/>
      <c r="Q28" s="1607"/>
      <c r="R28" s="1607"/>
      <c r="S28" s="1613"/>
      <c r="T28" s="293"/>
    </row>
    <row r="29" spans="1:58" s="206" customFormat="1" ht="18" customHeight="1" outlineLevel="1" thickTop="1" thickBot="1" x14ac:dyDescent="0.35">
      <c r="B29" s="324"/>
      <c r="F29" s="2358" t="s">
        <v>1103</v>
      </c>
      <c r="G29" s="2359"/>
      <c r="H29" s="1991">
        <f>'R&amp;C-Painel de Controle'!H33</f>
        <v>254.60848243040007</v>
      </c>
      <c r="I29" s="1992" t="s">
        <v>295</v>
      </c>
      <c r="J29" s="1993"/>
      <c r="K29" s="1993"/>
      <c r="L29" s="1993"/>
      <c r="M29" s="1993"/>
      <c r="N29" s="1993"/>
      <c r="O29" s="1993"/>
      <c r="P29" s="1993"/>
      <c r="Q29" s="1993"/>
      <c r="R29" s="1993"/>
      <c r="S29" s="1994"/>
    </row>
    <row r="30" spans="1:58" s="206" customFormat="1" ht="18" customHeight="1" thickTop="1" x14ac:dyDescent="0.3">
      <c r="B30" s="324"/>
      <c r="R30" s="299"/>
    </row>
    <row r="31" spans="1:58" s="206" customFormat="1" ht="27" customHeight="1" x14ac:dyDescent="0.3">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3">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3">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3">
      <c r="B34" s="324"/>
      <c r="C34" s="304">
        <f>AVERAGE(C35:AF35)/312</f>
        <v>267.80917993112189</v>
      </c>
      <c r="D34" s="206">
        <v>1.8092028670075588E+55</v>
      </c>
      <c r="E34" s="301"/>
      <c r="F34" s="301"/>
      <c r="G34" s="302"/>
      <c r="H34" s="300"/>
      <c r="I34" s="303"/>
      <c r="J34" s="303"/>
      <c r="K34" s="303"/>
      <c r="L34" s="300"/>
      <c r="M34" s="300"/>
      <c r="O34" s="294"/>
      <c r="P34" s="294"/>
      <c r="Q34" s="294"/>
      <c r="R34" s="294"/>
      <c r="S34" s="294"/>
    </row>
    <row r="35" spans="1:58" s="206" customFormat="1" ht="34.950000000000003" customHeight="1" collapsed="1" x14ac:dyDescent="0.3">
      <c r="B35" s="907" t="s">
        <v>404</v>
      </c>
      <c r="C35" s="304">
        <f>'R&amp;C-Painel de Controle'!D8</f>
        <v>78000</v>
      </c>
      <c r="D35" s="304">
        <f>C35*(1+$C$8)</f>
        <v>78366.599999999991</v>
      </c>
      <c r="E35" s="304">
        <f t="shared" ref="E35:AI35" si="4">D35*(1+$C$8)</f>
        <v>78734.923019999987</v>
      </c>
      <c r="F35" s="304">
        <f t="shared" si="4"/>
        <v>79104.977158193986</v>
      </c>
      <c r="G35" s="304">
        <f t="shared" si="4"/>
        <v>79476.770550837493</v>
      </c>
      <c r="H35" s="304">
        <f t="shared" si="4"/>
        <v>79850.311372426426</v>
      </c>
      <c r="I35" s="304">
        <f t="shared" si="4"/>
        <v>80225.607835876828</v>
      </c>
      <c r="J35" s="304">
        <f t="shared" si="4"/>
        <v>80602.668192705445</v>
      </c>
      <c r="K35" s="304">
        <f t="shared" si="4"/>
        <v>80981.500733211156</v>
      </c>
      <c r="L35" s="304">
        <f t="shared" si="4"/>
        <v>81362.113786657239</v>
      </c>
      <c r="M35" s="304">
        <f t="shared" si="4"/>
        <v>81744.515721454518</v>
      </c>
      <c r="N35" s="304">
        <f t="shared" si="4"/>
        <v>82128.714945345346</v>
      </c>
      <c r="O35" s="304">
        <f t="shared" si="4"/>
        <v>82514.719905588456</v>
      </c>
      <c r="P35" s="304">
        <f t="shared" si="4"/>
        <v>82902.539089144717</v>
      </c>
      <c r="Q35" s="304">
        <f t="shared" si="4"/>
        <v>83292.18102286369</v>
      </c>
      <c r="R35" s="304">
        <f t="shared" si="4"/>
        <v>83683.654273671142</v>
      </c>
      <c r="S35" s="304">
        <f t="shared" si="4"/>
        <v>84076.967448757394</v>
      </c>
      <c r="T35" s="304">
        <f t="shared" si="4"/>
        <v>84472.129195766553</v>
      </c>
      <c r="U35" s="304">
        <f t="shared" si="4"/>
        <v>84869.148202986646</v>
      </c>
      <c r="V35" s="304">
        <f t="shared" si="4"/>
        <v>85268.033199540674</v>
      </c>
      <c r="W35" s="304">
        <f t="shared" si="4"/>
        <v>85668.792955578509</v>
      </c>
      <c r="X35" s="304">
        <f t="shared" si="4"/>
        <v>86071.436282469716</v>
      </c>
      <c r="Y35" s="304">
        <f t="shared" si="4"/>
        <v>86475.972032997321</v>
      </c>
      <c r="Z35" s="304">
        <f t="shared" si="4"/>
        <v>86882.409101552403</v>
      </c>
      <c r="AA35" s="304">
        <f t="shared" si="4"/>
        <v>87290.756424329695</v>
      </c>
      <c r="AB35" s="304">
        <f t="shared" si="4"/>
        <v>87701.022979524045</v>
      </c>
      <c r="AC35" s="304">
        <f t="shared" si="4"/>
        <v>88113.217787527799</v>
      </c>
      <c r="AD35" s="304">
        <f t="shared" si="4"/>
        <v>88527.349911129175</v>
      </c>
      <c r="AE35" s="304">
        <f t="shared" si="4"/>
        <v>88943.428455711473</v>
      </c>
      <c r="AF35" s="304">
        <f t="shared" si="4"/>
        <v>89361.462569453317</v>
      </c>
      <c r="AG35" s="304">
        <f t="shared" si="4"/>
        <v>89781.461443529741</v>
      </c>
      <c r="AH35" s="304">
        <f t="shared" si="4"/>
        <v>90203.434312314319</v>
      </c>
      <c r="AI35" s="304">
        <f t="shared" si="4"/>
        <v>90627.390453582193</v>
      </c>
      <c r="AJ35" s="304">
        <f t="shared" ref="AJ35:BC35" si="5">AI35*(1+$C$8)</f>
        <v>91053.339188714017</v>
      </c>
      <c r="AK35" s="304">
        <f t="shared" si="5"/>
        <v>91481.289882900965</v>
      </c>
      <c r="AL35" s="304">
        <f t="shared" si="5"/>
        <v>91911.251945350596</v>
      </c>
      <c r="AM35" s="304">
        <f t="shared" si="5"/>
        <v>92343.23482949374</v>
      </c>
      <c r="AN35" s="304">
        <f t="shared" si="5"/>
        <v>92777.248033192358</v>
      </c>
      <c r="AO35" s="304">
        <f t="shared" si="5"/>
        <v>93213.301098948359</v>
      </c>
      <c r="AP35" s="304">
        <f t="shared" si="5"/>
        <v>93651.403614113413</v>
      </c>
      <c r="AQ35" s="304">
        <f t="shared" si="5"/>
        <v>94091.565211099733</v>
      </c>
      <c r="AR35" s="304">
        <f t="shared" si="5"/>
        <v>94533.795567591893</v>
      </c>
      <c r="AS35" s="304">
        <f t="shared" si="5"/>
        <v>94978.104406759565</v>
      </c>
      <c r="AT35" s="304">
        <f t="shared" si="5"/>
        <v>95424.501497471327</v>
      </c>
      <c r="AU35" s="304">
        <f t="shared" si="5"/>
        <v>95872.996654509436</v>
      </c>
      <c r="AV35" s="304">
        <f t="shared" si="5"/>
        <v>96323.599738785619</v>
      </c>
      <c r="AW35" s="304">
        <f t="shared" si="5"/>
        <v>96776.32065755791</v>
      </c>
      <c r="AX35" s="304">
        <f t="shared" si="5"/>
        <v>97231.16936464842</v>
      </c>
      <c r="AY35" s="304">
        <f t="shared" si="5"/>
        <v>97688.155860662257</v>
      </c>
      <c r="AZ35" s="304">
        <f t="shared" si="5"/>
        <v>98147.290193207358</v>
      </c>
      <c r="BA35" s="304">
        <f t="shared" si="5"/>
        <v>98608.582457115423</v>
      </c>
      <c r="BB35" s="304">
        <f t="shared" si="5"/>
        <v>99072.042794663852</v>
      </c>
      <c r="BC35" s="304">
        <f t="shared" si="5"/>
        <v>99537.681395798762</v>
      </c>
    </row>
    <row r="36" spans="1:58" s="206" customFormat="1" ht="18" hidden="1" customHeight="1" outlineLevel="1" x14ac:dyDescent="0.3">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3">
      <c r="B37" s="906" t="str">
        <f>B65</f>
        <v>Triagem Manual — Seletivos</v>
      </c>
      <c r="C37" s="325" t="str">
        <f>C65</f>
        <v>Não</v>
      </c>
      <c r="D37" s="325">
        <f>'R&amp;C-Painel de Controle'!H52</f>
        <v>0</v>
      </c>
      <c r="E37" s="1479"/>
      <c r="R37" s="299"/>
    </row>
    <row r="38" spans="1:58" s="206" customFormat="1" ht="18" hidden="1" customHeight="1" outlineLevel="1" x14ac:dyDescent="0.3">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3">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3">
      <c r="B40" s="906" t="str">
        <f>B68</f>
        <v>Triagem Mecanizada</v>
      </c>
      <c r="C40" s="325" t="str">
        <f>C68</f>
        <v>Sim</v>
      </c>
      <c r="D40" s="325">
        <f>'R&amp;C-Painel de Controle'!H55</f>
        <v>78250</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3">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3">
      <c r="B42" s="285" t="s">
        <v>670</v>
      </c>
      <c r="C42" s="327">
        <f>C41*$D$40</f>
        <v>0</v>
      </c>
      <c r="D42" s="329">
        <f t="shared" ref="D42:Q42" si="10">D41*$D$40*(1+$C$8)</f>
        <v>0</v>
      </c>
      <c r="E42" s="333">
        <f t="shared" si="10"/>
        <v>0</v>
      </c>
      <c r="F42" s="333">
        <f t="shared" si="10"/>
        <v>78617.774999999994</v>
      </c>
      <c r="G42" s="333">
        <f t="shared" si="10"/>
        <v>78617.774999999994</v>
      </c>
      <c r="H42" s="333">
        <f t="shared" si="10"/>
        <v>78617.774999999994</v>
      </c>
      <c r="I42" s="333">
        <f t="shared" si="10"/>
        <v>78617.774999999994</v>
      </c>
      <c r="J42" s="333">
        <f t="shared" si="10"/>
        <v>78617.774999999994</v>
      </c>
      <c r="K42" s="333">
        <f t="shared" si="10"/>
        <v>78617.774999999994</v>
      </c>
      <c r="L42" s="333">
        <f t="shared" si="10"/>
        <v>78617.774999999994</v>
      </c>
      <c r="M42" s="333">
        <f t="shared" si="10"/>
        <v>78617.774999999994</v>
      </c>
      <c r="N42" s="333">
        <f t="shared" si="10"/>
        <v>78617.774999999994</v>
      </c>
      <c r="O42" s="333">
        <f t="shared" si="10"/>
        <v>78617.774999999994</v>
      </c>
      <c r="P42" s="333">
        <f t="shared" si="10"/>
        <v>78617.774999999994</v>
      </c>
      <c r="Q42" s="333">
        <f t="shared" si="10"/>
        <v>78617.774999999994</v>
      </c>
      <c r="R42" s="333">
        <f t="shared" ref="R42:BC42" si="11">Q42*(1+$C$8)</f>
        <v>78987.278542499989</v>
      </c>
      <c r="S42" s="333">
        <f t="shared" si="11"/>
        <v>79358.518751649739</v>
      </c>
      <c r="T42" s="333">
        <f t="shared" si="11"/>
        <v>79731.50378978248</v>
      </c>
      <c r="U42" s="333">
        <f t="shared" si="11"/>
        <v>80106.241857594447</v>
      </c>
      <c r="V42" s="333">
        <f t="shared" si="11"/>
        <v>80482.741194325135</v>
      </c>
      <c r="W42" s="333">
        <f t="shared" si="11"/>
        <v>80861.010077938452</v>
      </c>
      <c r="X42" s="333">
        <f t="shared" si="11"/>
        <v>81241.056825304753</v>
      </c>
      <c r="Y42" s="333">
        <f t="shared" si="11"/>
        <v>81622.889792383678</v>
      </c>
      <c r="Z42" s="333">
        <f t="shared" si="11"/>
        <v>82006.517374407878</v>
      </c>
      <c r="AA42" s="333">
        <f t="shared" si="11"/>
        <v>82391.948006067585</v>
      </c>
      <c r="AB42" s="333">
        <f t="shared" si="11"/>
        <v>82779.190161696097</v>
      </c>
      <c r="AC42" s="333">
        <f t="shared" si="11"/>
        <v>83168.252355456061</v>
      </c>
      <c r="AD42" s="333">
        <f t="shared" si="11"/>
        <v>83559.1431415267</v>
      </c>
      <c r="AE42" s="333">
        <f t="shared" si="11"/>
        <v>83951.871114291862</v>
      </c>
      <c r="AF42" s="333">
        <f t="shared" si="11"/>
        <v>84346.444908529025</v>
      </c>
      <c r="AG42" s="333">
        <f t="shared" si="11"/>
        <v>84742.873199599111</v>
      </c>
      <c r="AH42" s="333">
        <f t="shared" si="11"/>
        <v>85141.164703637216</v>
      </c>
      <c r="AI42" s="333">
        <f t="shared" si="11"/>
        <v>85541.328177744304</v>
      </c>
      <c r="AJ42" s="333">
        <f t="shared" si="11"/>
        <v>85943.372420179701</v>
      </c>
      <c r="AK42" s="333">
        <f t="shared" si="11"/>
        <v>86347.306270554545</v>
      </c>
      <c r="AL42" s="333">
        <f t="shared" si="11"/>
        <v>86753.138610026144</v>
      </c>
      <c r="AM42" s="333">
        <f t="shared" si="11"/>
        <v>87160.878361493262</v>
      </c>
      <c r="AN42" s="333">
        <f t="shared" si="11"/>
        <v>87570.534489792277</v>
      </c>
      <c r="AO42" s="333">
        <f t="shared" si="11"/>
        <v>87982.11600189429</v>
      </c>
      <c r="AP42" s="333">
        <f t="shared" si="11"/>
        <v>88395.631947103189</v>
      </c>
      <c r="AQ42" s="333">
        <f t="shared" si="11"/>
        <v>88811.091417254574</v>
      </c>
      <c r="AR42" s="333">
        <f t="shared" si="11"/>
        <v>89228.503546915657</v>
      </c>
      <c r="AS42" s="333">
        <f t="shared" si="11"/>
        <v>89647.877513586151</v>
      </c>
      <c r="AT42" s="333">
        <f t="shared" si="11"/>
        <v>90069.222537900001</v>
      </c>
      <c r="AU42" s="333">
        <f t="shared" si="11"/>
        <v>90492.547883828127</v>
      </c>
      <c r="AV42" s="333">
        <f t="shared" si="11"/>
        <v>90917.862858882116</v>
      </c>
      <c r="AW42" s="333">
        <f t="shared" si="11"/>
        <v>91345.176814318853</v>
      </c>
      <c r="AX42" s="333">
        <f t="shared" si="11"/>
        <v>91774.499145346141</v>
      </c>
      <c r="AY42" s="333">
        <f t="shared" si="11"/>
        <v>92205.839291329263</v>
      </c>
      <c r="AZ42" s="333">
        <f t="shared" si="11"/>
        <v>92639.206735998509</v>
      </c>
      <c r="BA42" s="333">
        <f t="shared" si="11"/>
        <v>93074.611007657688</v>
      </c>
      <c r="BB42" s="333">
        <f t="shared" si="11"/>
        <v>93512.061679393679</v>
      </c>
      <c r="BC42" s="333">
        <f t="shared" si="11"/>
        <v>93951.568369286819</v>
      </c>
      <c r="BD42" s="305"/>
      <c r="BE42" s="305"/>
      <c r="BF42" s="305"/>
    </row>
    <row r="43" spans="1:58" s="206" customFormat="1" ht="18" hidden="1" customHeight="1" outlineLevel="1" x14ac:dyDescent="0.3">
      <c r="B43" s="906" t="str">
        <f>B71</f>
        <v>Produção de CDR TM — Trat. Mec.</v>
      </c>
      <c r="C43" s="325" t="str">
        <f>C71</f>
        <v>Sim</v>
      </c>
      <c r="D43" s="325">
        <f>'R&amp;C-Painel de Controle'!H58</f>
        <v>29578.5</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3">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3">
      <c r="B45" s="285" t="s">
        <v>670</v>
      </c>
      <c r="C45" s="327">
        <f>C44*$D$43</f>
        <v>0</v>
      </c>
      <c r="D45" s="329">
        <f t="shared" ref="D45:Q45" si="13">D44*$D$43*(1+$C$8)</f>
        <v>0</v>
      </c>
      <c r="E45" s="333">
        <f t="shared" si="13"/>
        <v>0</v>
      </c>
      <c r="F45" s="333">
        <f t="shared" si="13"/>
        <v>29717.518949999998</v>
      </c>
      <c r="G45" s="333">
        <f t="shared" si="13"/>
        <v>29717.518949999998</v>
      </c>
      <c r="H45" s="333">
        <f t="shared" si="13"/>
        <v>29717.518949999998</v>
      </c>
      <c r="I45" s="333">
        <f t="shared" si="13"/>
        <v>29717.518949999998</v>
      </c>
      <c r="J45" s="333">
        <f t="shared" si="13"/>
        <v>29717.518949999998</v>
      </c>
      <c r="K45" s="333">
        <f t="shared" si="13"/>
        <v>29717.518949999998</v>
      </c>
      <c r="L45" s="333">
        <f t="shared" si="13"/>
        <v>29717.518949999998</v>
      </c>
      <c r="M45" s="333">
        <f t="shared" si="13"/>
        <v>29717.518949999998</v>
      </c>
      <c r="N45" s="333">
        <f t="shared" si="13"/>
        <v>29717.518949999998</v>
      </c>
      <c r="O45" s="333">
        <f t="shared" si="13"/>
        <v>29717.518949999998</v>
      </c>
      <c r="P45" s="333">
        <f t="shared" si="13"/>
        <v>29717.518949999998</v>
      </c>
      <c r="Q45" s="333">
        <f t="shared" si="13"/>
        <v>29717.518949999998</v>
      </c>
      <c r="R45" s="333">
        <f t="shared" ref="R45:BC45" si="14">Q45*(1+$C$8)</f>
        <v>29857.191289064995</v>
      </c>
      <c r="S45" s="333">
        <f t="shared" si="14"/>
        <v>29997.520088123598</v>
      </c>
      <c r="T45" s="333">
        <f t="shared" si="14"/>
        <v>30138.508432537776</v>
      </c>
      <c r="U45" s="333">
        <f t="shared" si="14"/>
        <v>30280.159422170702</v>
      </c>
      <c r="V45" s="333">
        <f t="shared" si="14"/>
        <v>30422.476171454902</v>
      </c>
      <c r="W45" s="333">
        <f t="shared" si="14"/>
        <v>30565.461809460739</v>
      </c>
      <c r="X45" s="333">
        <f t="shared" si="14"/>
        <v>30709.119479965204</v>
      </c>
      <c r="Y45" s="333">
        <f t="shared" si="14"/>
        <v>30853.452341521039</v>
      </c>
      <c r="Z45" s="333">
        <f t="shared" si="14"/>
        <v>30998.463567526185</v>
      </c>
      <c r="AA45" s="333">
        <f t="shared" si="14"/>
        <v>31144.156346293556</v>
      </c>
      <c r="AB45" s="333">
        <f t="shared" si="14"/>
        <v>31290.533881121133</v>
      </c>
      <c r="AC45" s="333">
        <f t="shared" si="14"/>
        <v>31437.5993903624</v>
      </c>
      <c r="AD45" s="333">
        <f t="shared" si="14"/>
        <v>31585.3561074971</v>
      </c>
      <c r="AE45" s="333">
        <f t="shared" si="14"/>
        <v>31733.807281202335</v>
      </c>
      <c r="AF45" s="333">
        <f t="shared" si="14"/>
        <v>31882.956175423984</v>
      </c>
      <c r="AG45" s="333">
        <f t="shared" si="14"/>
        <v>32032.806069448474</v>
      </c>
      <c r="AH45" s="333">
        <f t="shared" si="14"/>
        <v>32183.36025797488</v>
      </c>
      <c r="AI45" s="333">
        <f t="shared" si="14"/>
        <v>32334.622051187362</v>
      </c>
      <c r="AJ45" s="333">
        <f t="shared" si="14"/>
        <v>32486.59477482794</v>
      </c>
      <c r="AK45" s="333">
        <f t="shared" si="14"/>
        <v>32639.28177026963</v>
      </c>
      <c r="AL45" s="333">
        <f t="shared" si="14"/>
        <v>32792.686394589895</v>
      </c>
      <c r="AM45" s="333">
        <f t="shared" si="14"/>
        <v>32946.812020644466</v>
      </c>
      <c r="AN45" s="333">
        <f t="shared" si="14"/>
        <v>33101.66203714149</v>
      </c>
      <c r="AO45" s="333">
        <f t="shared" si="14"/>
        <v>33257.239848716054</v>
      </c>
      <c r="AP45" s="333">
        <f t="shared" si="14"/>
        <v>33413.548876005014</v>
      </c>
      <c r="AQ45" s="333">
        <f t="shared" si="14"/>
        <v>33570.592555722236</v>
      </c>
      <c r="AR45" s="333">
        <f t="shared" si="14"/>
        <v>33728.374340734132</v>
      </c>
      <c r="AS45" s="333">
        <f t="shared" si="14"/>
        <v>33886.897700135582</v>
      </c>
      <c r="AT45" s="333">
        <f t="shared" si="14"/>
        <v>34046.166119326219</v>
      </c>
      <c r="AU45" s="333">
        <f t="shared" si="14"/>
        <v>34206.183100087052</v>
      </c>
      <c r="AV45" s="333">
        <f t="shared" si="14"/>
        <v>34366.952160657456</v>
      </c>
      <c r="AW45" s="333">
        <f t="shared" si="14"/>
        <v>34528.476835812544</v>
      </c>
      <c r="AX45" s="333">
        <f t="shared" si="14"/>
        <v>34690.760676940859</v>
      </c>
      <c r="AY45" s="333">
        <f t="shared" si="14"/>
        <v>34853.807252122482</v>
      </c>
      <c r="AZ45" s="333">
        <f t="shared" si="14"/>
        <v>35017.620146207453</v>
      </c>
      <c r="BA45" s="333">
        <f t="shared" si="14"/>
        <v>35182.202960894625</v>
      </c>
      <c r="BB45" s="333">
        <f t="shared" si="14"/>
        <v>35347.559314810824</v>
      </c>
      <c r="BC45" s="333">
        <f t="shared" si="14"/>
        <v>35513.692843590434</v>
      </c>
      <c r="BD45" s="305"/>
      <c r="BE45" s="305"/>
      <c r="BF45" s="305"/>
    </row>
    <row r="46" spans="1:58" s="206" customFormat="1" ht="18" hidden="1" customHeight="1" outlineLevel="1" x14ac:dyDescent="0.3">
      <c r="B46" s="906" t="str">
        <f>B74</f>
        <v>Prod. CDR TMB — Trat. Mec./Biológ.</v>
      </c>
      <c r="C46" s="325" t="str">
        <f>C74</f>
        <v>Não</v>
      </c>
      <c r="D46" s="325">
        <f>'R&amp;C-Painel de Controle'!H61</f>
        <v>0</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3">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3">
      <c r="B48" s="285" t="s">
        <v>670</v>
      </c>
      <c r="C48" s="327">
        <f>C47*$D$46</f>
        <v>0</v>
      </c>
      <c r="D48" s="329">
        <f t="shared" ref="D48:Q48" si="16">D47*$D$46*(1+$C$8)</f>
        <v>0</v>
      </c>
      <c r="E48" s="333">
        <f t="shared" si="16"/>
        <v>0</v>
      </c>
      <c r="F48" s="333">
        <f t="shared" si="16"/>
        <v>0</v>
      </c>
      <c r="G48" s="333">
        <f t="shared" si="16"/>
        <v>0</v>
      </c>
      <c r="H48" s="333">
        <f t="shared" si="16"/>
        <v>0</v>
      </c>
      <c r="I48" s="333">
        <f t="shared" si="16"/>
        <v>0</v>
      </c>
      <c r="J48" s="333">
        <f t="shared" si="16"/>
        <v>0</v>
      </c>
      <c r="K48" s="333">
        <f t="shared" si="16"/>
        <v>0</v>
      </c>
      <c r="L48" s="333">
        <f t="shared" si="16"/>
        <v>0</v>
      </c>
      <c r="M48" s="333">
        <f t="shared" si="16"/>
        <v>0</v>
      </c>
      <c r="N48" s="333">
        <f t="shared" si="16"/>
        <v>0</v>
      </c>
      <c r="O48" s="333">
        <f t="shared" si="16"/>
        <v>0</v>
      </c>
      <c r="P48" s="333">
        <f t="shared" si="16"/>
        <v>0</v>
      </c>
      <c r="Q48" s="333">
        <f t="shared" si="16"/>
        <v>0</v>
      </c>
      <c r="R48" s="333">
        <f t="shared" ref="R48:BC48" si="17">Q48*(1+$C$8)</f>
        <v>0</v>
      </c>
      <c r="S48" s="333">
        <f t="shared" si="17"/>
        <v>0</v>
      </c>
      <c r="T48" s="333">
        <f t="shared" si="17"/>
        <v>0</v>
      </c>
      <c r="U48" s="333">
        <f t="shared" si="17"/>
        <v>0</v>
      </c>
      <c r="V48" s="333">
        <f t="shared" si="17"/>
        <v>0</v>
      </c>
      <c r="W48" s="333">
        <f t="shared" si="17"/>
        <v>0</v>
      </c>
      <c r="X48" s="333">
        <f t="shared" si="17"/>
        <v>0</v>
      </c>
      <c r="Y48" s="333">
        <f t="shared" si="17"/>
        <v>0</v>
      </c>
      <c r="Z48" s="333">
        <f t="shared" si="17"/>
        <v>0</v>
      </c>
      <c r="AA48" s="333">
        <f t="shared" si="17"/>
        <v>0</v>
      </c>
      <c r="AB48" s="333">
        <f t="shared" si="17"/>
        <v>0</v>
      </c>
      <c r="AC48" s="333">
        <f t="shared" si="17"/>
        <v>0</v>
      </c>
      <c r="AD48" s="333">
        <f t="shared" si="17"/>
        <v>0</v>
      </c>
      <c r="AE48" s="333">
        <f t="shared" si="17"/>
        <v>0</v>
      </c>
      <c r="AF48" s="333">
        <f t="shared" si="17"/>
        <v>0</v>
      </c>
      <c r="AG48" s="333">
        <f t="shared" si="17"/>
        <v>0</v>
      </c>
      <c r="AH48" s="333">
        <f t="shared" si="17"/>
        <v>0</v>
      </c>
      <c r="AI48" s="333">
        <f t="shared" si="17"/>
        <v>0</v>
      </c>
      <c r="AJ48" s="333">
        <f t="shared" si="17"/>
        <v>0</v>
      </c>
      <c r="AK48" s="333">
        <f t="shared" si="17"/>
        <v>0</v>
      </c>
      <c r="AL48" s="333">
        <f t="shared" si="17"/>
        <v>0</v>
      </c>
      <c r="AM48" s="333">
        <f t="shared" si="17"/>
        <v>0</v>
      </c>
      <c r="AN48" s="333">
        <f t="shared" si="17"/>
        <v>0</v>
      </c>
      <c r="AO48" s="333">
        <f t="shared" si="17"/>
        <v>0</v>
      </c>
      <c r="AP48" s="333">
        <f t="shared" si="17"/>
        <v>0</v>
      </c>
      <c r="AQ48" s="333">
        <f t="shared" si="17"/>
        <v>0</v>
      </c>
      <c r="AR48" s="333">
        <f t="shared" si="17"/>
        <v>0</v>
      </c>
      <c r="AS48" s="333">
        <f t="shared" si="17"/>
        <v>0</v>
      </c>
      <c r="AT48" s="333">
        <f t="shared" si="17"/>
        <v>0</v>
      </c>
      <c r="AU48" s="333">
        <f t="shared" si="17"/>
        <v>0</v>
      </c>
      <c r="AV48" s="333">
        <f t="shared" si="17"/>
        <v>0</v>
      </c>
      <c r="AW48" s="333">
        <f t="shared" si="17"/>
        <v>0</v>
      </c>
      <c r="AX48" s="333">
        <f t="shared" si="17"/>
        <v>0</v>
      </c>
      <c r="AY48" s="333">
        <f t="shared" si="17"/>
        <v>0</v>
      </c>
      <c r="AZ48" s="333">
        <f t="shared" si="17"/>
        <v>0</v>
      </c>
      <c r="BA48" s="333">
        <f t="shared" si="17"/>
        <v>0</v>
      </c>
      <c r="BB48" s="333">
        <f t="shared" si="17"/>
        <v>0</v>
      </c>
      <c r="BC48" s="333">
        <f t="shared" si="17"/>
        <v>0</v>
      </c>
      <c r="BD48" s="305"/>
      <c r="BE48" s="305"/>
      <c r="BF48" s="305"/>
    </row>
    <row r="49" spans="1:58" s="206" customFormat="1" ht="18" hidden="1" customHeight="1" outlineLevel="1" x14ac:dyDescent="0.3">
      <c r="B49" s="906" t="str">
        <f>B77</f>
        <v>Biodigestão Anaeróbia</v>
      </c>
      <c r="C49" s="325" t="str">
        <f>C77</f>
        <v>Não'</v>
      </c>
      <c r="D49" s="325">
        <f>'R&amp;C-Painel de Controle'!H64</f>
        <v>0</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3">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3">
      <c r="B51" s="285" t="s">
        <v>670</v>
      </c>
      <c r="C51" s="327">
        <f>C50*$D$49</f>
        <v>0</v>
      </c>
      <c r="D51" s="329">
        <f t="shared" ref="D51:Q51" si="19">D50*$D$49*(1+$C$8)</f>
        <v>0</v>
      </c>
      <c r="E51" s="333">
        <f t="shared" si="19"/>
        <v>0</v>
      </c>
      <c r="F51" s="333">
        <f t="shared" si="19"/>
        <v>0</v>
      </c>
      <c r="G51" s="333">
        <f t="shared" si="19"/>
        <v>0</v>
      </c>
      <c r="H51" s="333">
        <f t="shared" si="19"/>
        <v>0</v>
      </c>
      <c r="I51" s="333">
        <f t="shared" si="19"/>
        <v>0</v>
      </c>
      <c r="J51" s="333">
        <f t="shared" si="19"/>
        <v>0</v>
      </c>
      <c r="K51" s="333">
        <f t="shared" si="19"/>
        <v>0</v>
      </c>
      <c r="L51" s="333">
        <f t="shared" si="19"/>
        <v>0</v>
      </c>
      <c r="M51" s="333">
        <f t="shared" si="19"/>
        <v>0</v>
      </c>
      <c r="N51" s="333">
        <f t="shared" si="19"/>
        <v>0</v>
      </c>
      <c r="O51" s="333">
        <f t="shared" si="19"/>
        <v>0</v>
      </c>
      <c r="P51" s="333">
        <f t="shared" si="19"/>
        <v>0</v>
      </c>
      <c r="Q51" s="333">
        <f t="shared" si="19"/>
        <v>0</v>
      </c>
      <c r="R51" s="333">
        <f t="shared" ref="R51:BC51" si="20">Q51*(1+$C$8)</f>
        <v>0</v>
      </c>
      <c r="S51" s="333">
        <f t="shared" si="20"/>
        <v>0</v>
      </c>
      <c r="T51" s="333">
        <f t="shared" si="20"/>
        <v>0</v>
      </c>
      <c r="U51" s="333">
        <f t="shared" si="20"/>
        <v>0</v>
      </c>
      <c r="V51" s="333">
        <f t="shared" si="20"/>
        <v>0</v>
      </c>
      <c r="W51" s="333">
        <f t="shared" si="20"/>
        <v>0</v>
      </c>
      <c r="X51" s="333">
        <f t="shared" si="20"/>
        <v>0</v>
      </c>
      <c r="Y51" s="333">
        <f t="shared" si="20"/>
        <v>0</v>
      </c>
      <c r="Z51" s="333">
        <f t="shared" si="20"/>
        <v>0</v>
      </c>
      <c r="AA51" s="333">
        <f t="shared" si="20"/>
        <v>0</v>
      </c>
      <c r="AB51" s="333">
        <f t="shared" si="20"/>
        <v>0</v>
      </c>
      <c r="AC51" s="333">
        <f t="shared" si="20"/>
        <v>0</v>
      </c>
      <c r="AD51" s="333">
        <f t="shared" si="20"/>
        <v>0</v>
      </c>
      <c r="AE51" s="333">
        <f t="shared" si="20"/>
        <v>0</v>
      </c>
      <c r="AF51" s="333">
        <f t="shared" si="20"/>
        <v>0</v>
      </c>
      <c r="AG51" s="333">
        <f t="shared" si="20"/>
        <v>0</v>
      </c>
      <c r="AH51" s="333">
        <f t="shared" si="20"/>
        <v>0</v>
      </c>
      <c r="AI51" s="333">
        <f t="shared" si="20"/>
        <v>0</v>
      </c>
      <c r="AJ51" s="333">
        <f t="shared" si="20"/>
        <v>0</v>
      </c>
      <c r="AK51" s="333">
        <f t="shared" si="20"/>
        <v>0</v>
      </c>
      <c r="AL51" s="333">
        <f t="shared" si="20"/>
        <v>0</v>
      </c>
      <c r="AM51" s="333">
        <f t="shared" si="20"/>
        <v>0</v>
      </c>
      <c r="AN51" s="333">
        <f t="shared" si="20"/>
        <v>0</v>
      </c>
      <c r="AO51" s="333">
        <f t="shared" si="20"/>
        <v>0</v>
      </c>
      <c r="AP51" s="333">
        <f t="shared" si="20"/>
        <v>0</v>
      </c>
      <c r="AQ51" s="333">
        <f t="shared" si="20"/>
        <v>0</v>
      </c>
      <c r="AR51" s="333">
        <f t="shared" si="20"/>
        <v>0</v>
      </c>
      <c r="AS51" s="333">
        <f t="shared" si="20"/>
        <v>0</v>
      </c>
      <c r="AT51" s="333">
        <f t="shared" si="20"/>
        <v>0</v>
      </c>
      <c r="AU51" s="333">
        <f t="shared" si="20"/>
        <v>0</v>
      </c>
      <c r="AV51" s="333">
        <f t="shared" si="20"/>
        <v>0</v>
      </c>
      <c r="AW51" s="333">
        <f t="shared" si="20"/>
        <v>0</v>
      </c>
      <c r="AX51" s="333">
        <f t="shared" si="20"/>
        <v>0</v>
      </c>
      <c r="AY51" s="333">
        <f t="shared" si="20"/>
        <v>0</v>
      </c>
      <c r="AZ51" s="333">
        <f t="shared" si="20"/>
        <v>0</v>
      </c>
      <c r="BA51" s="333">
        <f t="shared" si="20"/>
        <v>0</v>
      </c>
      <c r="BB51" s="333">
        <f t="shared" si="20"/>
        <v>0</v>
      </c>
      <c r="BC51" s="333">
        <f t="shared" si="20"/>
        <v>0</v>
      </c>
      <c r="BD51" s="305"/>
      <c r="BE51" s="305"/>
      <c r="BF51" s="305"/>
    </row>
    <row r="52" spans="1:58" s="206" customFormat="1" ht="18" hidden="1" customHeight="1" outlineLevel="1" x14ac:dyDescent="0.3">
      <c r="B52" s="906" t="str">
        <f>B80</f>
        <v>Compostagem</v>
      </c>
      <c r="C52" s="325" t="str">
        <f>C80</f>
        <v>Sim</v>
      </c>
      <c r="D52" s="325">
        <f>'R&amp;C-Painel de Controle'!H67</f>
        <v>34187.424999999996</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3">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3">
      <c r="B54" s="285" t="s">
        <v>670</v>
      </c>
      <c r="C54" s="327">
        <f>C53*$D$52</f>
        <v>0</v>
      </c>
      <c r="D54" s="329">
        <f t="shared" ref="D54:Q54" si="22">D53*$D$52*(1+$C$8)</f>
        <v>0</v>
      </c>
      <c r="E54" s="333">
        <f t="shared" si="22"/>
        <v>0</v>
      </c>
      <c r="F54" s="333">
        <f t="shared" si="22"/>
        <v>34348.105897499991</v>
      </c>
      <c r="G54" s="333">
        <f t="shared" si="22"/>
        <v>34348.105897499991</v>
      </c>
      <c r="H54" s="333">
        <f t="shared" si="22"/>
        <v>34348.105897499991</v>
      </c>
      <c r="I54" s="333">
        <f t="shared" si="22"/>
        <v>34348.105897499991</v>
      </c>
      <c r="J54" s="333">
        <f t="shared" si="22"/>
        <v>34348.105897499991</v>
      </c>
      <c r="K54" s="333">
        <f t="shared" si="22"/>
        <v>34348.105897499991</v>
      </c>
      <c r="L54" s="333">
        <f t="shared" si="22"/>
        <v>34348.105897499991</v>
      </c>
      <c r="M54" s="333">
        <f t="shared" si="22"/>
        <v>34348.105897499991</v>
      </c>
      <c r="N54" s="333">
        <f t="shared" si="22"/>
        <v>34348.105897499991</v>
      </c>
      <c r="O54" s="333">
        <f t="shared" si="22"/>
        <v>34348.105897499991</v>
      </c>
      <c r="P54" s="333">
        <f t="shared" si="22"/>
        <v>34348.105897499991</v>
      </c>
      <c r="Q54" s="333">
        <f t="shared" si="22"/>
        <v>34348.105897499991</v>
      </c>
      <c r="R54" s="333">
        <f t="shared" ref="R54:BC54" si="23">Q54*(1+$C$8)</f>
        <v>34509.541995218235</v>
      </c>
      <c r="S54" s="333">
        <f t="shared" si="23"/>
        <v>34671.736842595761</v>
      </c>
      <c r="T54" s="333">
        <f t="shared" si="23"/>
        <v>34834.694005755962</v>
      </c>
      <c r="U54" s="333">
        <f t="shared" si="23"/>
        <v>34998.41706758301</v>
      </c>
      <c r="V54" s="333">
        <f t="shared" si="23"/>
        <v>35162.909627800647</v>
      </c>
      <c r="W54" s="333">
        <f t="shared" si="23"/>
        <v>35328.175303051306</v>
      </c>
      <c r="X54" s="333">
        <f t="shared" si="23"/>
        <v>35494.217726975643</v>
      </c>
      <c r="Y54" s="333">
        <f t="shared" si="23"/>
        <v>35661.040550292426</v>
      </c>
      <c r="Z54" s="333">
        <f t="shared" si="23"/>
        <v>35828.647440878798</v>
      </c>
      <c r="AA54" s="333">
        <f t="shared" si="23"/>
        <v>35997.042083850924</v>
      </c>
      <c r="AB54" s="333">
        <f t="shared" si="23"/>
        <v>36166.22818164502</v>
      </c>
      <c r="AC54" s="333">
        <f t="shared" si="23"/>
        <v>36336.209454098745</v>
      </c>
      <c r="AD54" s="333">
        <f t="shared" si="23"/>
        <v>36506.989638533007</v>
      </c>
      <c r="AE54" s="333">
        <f t="shared" si="23"/>
        <v>36678.572489834107</v>
      </c>
      <c r="AF54" s="333">
        <f t="shared" si="23"/>
        <v>36850.961780536323</v>
      </c>
      <c r="AG54" s="333">
        <f t="shared" si="23"/>
        <v>37024.161300904838</v>
      </c>
      <c r="AH54" s="333">
        <f t="shared" si="23"/>
        <v>37198.174859019091</v>
      </c>
      <c r="AI54" s="333">
        <f t="shared" si="23"/>
        <v>37373.006280856476</v>
      </c>
      <c r="AJ54" s="333">
        <f t="shared" si="23"/>
        <v>37548.659410376502</v>
      </c>
      <c r="AK54" s="333">
        <f t="shared" si="23"/>
        <v>37725.138109605272</v>
      </c>
      <c r="AL54" s="333">
        <f t="shared" si="23"/>
        <v>37902.446258720411</v>
      </c>
      <c r="AM54" s="333">
        <f t="shared" si="23"/>
        <v>38080.587756136396</v>
      </c>
      <c r="AN54" s="333">
        <f t="shared" si="23"/>
        <v>38259.566518590233</v>
      </c>
      <c r="AO54" s="333">
        <f t="shared" si="23"/>
        <v>38439.386481227601</v>
      </c>
      <c r="AP54" s="333">
        <f t="shared" si="23"/>
        <v>38620.051597689366</v>
      </c>
      <c r="AQ54" s="333">
        <f t="shared" si="23"/>
        <v>38801.565840198506</v>
      </c>
      <c r="AR54" s="333">
        <f t="shared" si="23"/>
        <v>38983.933199647436</v>
      </c>
      <c r="AS54" s="333">
        <f t="shared" si="23"/>
        <v>39167.157685685779</v>
      </c>
      <c r="AT54" s="333">
        <f t="shared" si="23"/>
        <v>39351.243326808501</v>
      </c>
      <c r="AU54" s="333">
        <f t="shared" si="23"/>
        <v>39536.194170444498</v>
      </c>
      <c r="AV54" s="333">
        <f t="shared" si="23"/>
        <v>39722.014283045581</v>
      </c>
      <c r="AW54" s="333">
        <f t="shared" si="23"/>
        <v>39908.70775017589</v>
      </c>
      <c r="AX54" s="333">
        <f t="shared" si="23"/>
        <v>40096.278676601716</v>
      </c>
      <c r="AY54" s="333">
        <f t="shared" si="23"/>
        <v>40284.731186381738</v>
      </c>
      <c r="AZ54" s="333">
        <f t="shared" si="23"/>
        <v>40474.069422957728</v>
      </c>
      <c r="BA54" s="333">
        <f t="shared" si="23"/>
        <v>40664.297549245624</v>
      </c>
      <c r="BB54" s="333">
        <f t="shared" si="23"/>
        <v>40855.419747727079</v>
      </c>
      <c r="BC54" s="333">
        <f t="shared" si="23"/>
        <v>41047.440220541394</v>
      </c>
      <c r="BD54" s="305"/>
      <c r="BE54" s="305"/>
      <c r="BF54" s="305"/>
    </row>
    <row r="55" spans="1:58" s="206" customFormat="1" ht="18" hidden="1" customHeight="1" outlineLevel="1" x14ac:dyDescent="0.3">
      <c r="B55" s="906" t="str">
        <f>B83</f>
        <v>Incineração</v>
      </c>
      <c r="C55" s="325" t="str">
        <f>C83</f>
        <v>Não</v>
      </c>
      <c r="D55" s="325">
        <f>'R&amp;C-Painel de Controle'!H70</f>
        <v>0</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3">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3">
      <c r="B57" s="285" t="s">
        <v>670</v>
      </c>
      <c r="C57" s="327">
        <f>C56*$D$55</f>
        <v>0</v>
      </c>
      <c r="D57" s="329">
        <f t="shared" ref="D57:Q57" si="25">D56*$D$55*(1+$C$8)</f>
        <v>0</v>
      </c>
      <c r="E57" s="333">
        <f t="shared" si="25"/>
        <v>0</v>
      </c>
      <c r="F57" s="333">
        <f t="shared" si="25"/>
        <v>0</v>
      </c>
      <c r="G57" s="333">
        <f t="shared" si="25"/>
        <v>0</v>
      </c>
      <c r="H57" s="333">
        <f t="shared" si="25"/>
        <v>0</v>
      </c>
      <c r="I57" s="333">
        <f t="shared" si="25"/>
        <v>0</v>
      </c>
      <c r="J57" s="333">
        <f t="shared" si="25"/>
        <v>0</v>
      </c>
      <c r="K57" s="333">
        <f t="shared" si="25"/>
        <v>0</v>
      </c>
      <c r="L57" s="333">
        <f t="shared" si="25"/>
        <v>0</v>
      </c>
      <c r="M57" s="333">
        <f t="shared" si="25"/>
        <v>0</v>
      </c>
      <c r="N57" s="333">
        <f t="shared" si="25"/>
        <v>0</v>
      </c>
      <c r="O57" s="333">
        <f t="shared" si="25"/>
        <v>0</v>
      </c>
      <c r="P57" s="333">
        <f t="shared" si="25"/>
        <v>0</v>
      </c>
      <c r="Q57" s="333">
        <f t="shared" si="25"/>
        <v>0</v>
      </c>
      <c r="R57" s="333">
        <f t="shared" ref="R57:BC57" si="26">Q57*(1+$C$8)</f>
        <v>0</v>
      </c>
      <c r="S57" s="333">
        <f t="shared" si="26"/>
        <v>0</v>
      </c>
      <c r="T57" s="333">
        <f t="shared" si="26"/>
        <v>0</v>
      </c>
      <c r="U57" s="333">
        <f t="shared" si="26"/>
        <v>0</v>
      </c>
      <c r="V57" s="333">
        <f t="shared" si="26"/>
        <v>0</v>
      </c>
      <c r="W57" s="333">
        <f t="shared" si="26"/>
        <v>0</v>
      </c>
      <c r="X57" s="333">
        <f t="shared" si="26"/>
        <v>0</v>
      </c>
      <c r="Y57" s="333">
        <f t="shared" si="26"/>
        <v>0</v>
      </c>
      <c r="Z57" s="333">
        <f t="shared" si="26"/>
        <v>0</v>
      </c>
      <c r="AA57" s="333">
        <f t="shared" si="26"/>
        <v>0</v>
      </c>
      <c r="AB57" s="333">
        <f t="shared" si="26"/>
        <v>0</v>
      </c>
      <c r="AC57" s="333">
        <f t="shared" si="26"/>
        <v>0</v>
      </c>
      <c r="AD57" s="333">
        <f t="shared" si="26"/>
        <v>0</v>
      </c>
      <c r="AE57" s="333">
        <f t="shared" si="26"/>
        <v>0</v>
      </c>
      <c r="AF57" s="333">
        <f t="shared" si="26"/>
        <v>0</v>
      </c>
      <c r="AG57" s="333">
        <f t="shared" si="26"/>
        <v>0</v>
      </c>
      <c r="AH57" s="333">
        <f t="shared" si="26"/>
        <v>0</v>
      </c>
      <c r="AI57" s="333">
        <f t="shared" si="26"/>
        <v>0</v>
      </c>
      <c r="AJ57" s="333">
        <f t="shared" si="26"/>
        <v>0</v>
      </c>
      <c r="AK57" s="333">
        <f t="shared" si="26"/>
        <v>0</v>
      </c>
      <c r="AL57" s="333">
        <f t="shared" si="26"/>
        <v>0</v>
      </c>
      <c r="AM57" s="333">
        <f t="shared" si="26"/>
        <v>0</v>
      </c>
      <c r="AN57" s="333">
        <f t="shared" si="26"/>
        <v>0</v>
      </c>
      <c r="AO57" s="333">
        <f t="shared" si="26"/>
        <v>0</v>
      </c>
      <c r="AP57" s="333">
        <f t="shared" si="26"/>
        <v>0</v>
      </c>
      <c r="AQ57" s="333">
        <f t="shared" si="26"/>
        <v>0</v>
      </c>
      <c r="AR57" s="333">
        <f t="shared" si="26"/>
        <v>0</v>
      </c>
      <c r="AS57" s="333">
        <f t="shared" si="26"/>
        <v>0</v>
      </c>
      <c r="AT57" s="333">
        <f t="shared" si="26"/>
        <v>0</v>
      </c>
      <c r="AU57" s="333">
        <f t="shared" si="26"/>
        <v>0</v>
      </c>
      <c r="AV57" s="333">
        <f t="shared" si="26"/>
        <v>0</v>
      </c>
      <c r="AW57" s="333">
        <f t="shared" si="26"/>
        <v>0</v>
      </c>
      <c r="AX57" s="333">
        <f t="shared" si="26"/>
        <v>0</v>
      </c>
      <c r="AY57" s="333">
        <f t="shared" si="26"/>
        <v>0</v>
      </c>
      <c r="AZ57" s="333">
        <f t="shared" si="26"/>
        <v>0</v>
      </c>
      <c r="BA57" s="333">
        <f t="shared" si="26"/>
        <v>0</v>
      </c>
      <c r="BB57" s="333">
        <f t="shared" si="26"/>
        <v>0</v>
      </c>
      <c r="BC57" s="333">
        <f t="shared" si="26"/>
        <v>0</v>
      </c>
      <c r="BD57" s="305"/>
      <c r="BE57" s="305"/>
      <c r="BF57" s="305"/>
    </row>
    <row r="58" spans="1:58" s="206" customFormat="1" ht="18" hidden="1" customHeight="1" outlineLevel="1" x14ac:dyDescent="0.3">
      <c r="B58" s="906" t="str">
        <f>B86</f>
        <v>Aterro Sanitário</v>
      </c>
      <c r="C58" s="325" t="str">
        <f>C86</f>
        <v>Sim</v>
      </c>
      <c r="D58" s="325">
        <f>'R&amp;C-Painel de Controle'!H73</f>
        <v>50359.743750000001</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3">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3">
      <c r="B60" s="285" t="s">
        <v>670</v>
      </c>
      <c r="C60" s="327">
        <f>C59*$D$58</f>
        <v>0</v>
      </c>
      <c r="D60" s="329">
        <f t="shared" ref="D60:Q60" si="28">D59*$D$58*(1+$C$8)</f>
        <v>0</v>
      </c>
      <c r="E60" s="333">
        <f t="shared" si="28"/>
        <v>0</v>
      </c>
      <c r="F60" s="333">
        <f t="shared" si="28"/>
        <v>50596.434545625001</v>
      </c>
      <c r="G60" s="333">
        <f t="shared" si="28"/>
        <v>50596.434545625001</v>
      </c>
      <c r="H60" s="333">
        <f t="shared" si="28"/>
        <v>50596.434545625001</v>
      </c>
      <c r="I60" s="333">
        <f t="shared" si="28"/>
        <v>50596.434545625001</v>
      </c>
      <c r="J60" s="333">
        <f t="shared" si="28"/>
        <v>50596.434545625001</v>
      </c>
      <c r="K60" s="333">
        <f t="shared" si="28"/>
        <v>50596.434545625001</v>
      </c>
      <c r="L60" s="333">
        <f t="shared" si="28"/>
        <v>50596.434545625001</v>
      </c>
      <c r="M60" s="333">
        <f t="shared" si="28"/>
        <v>50596.434545625001</v>
      </c>
      <c r="N60" s="333">
        <f t="shared" si="28"/>
        <v>50596.434545625001</v>
      </c>
      <c r="O60" s="333">
        <f t="shared" si="28"/>
        <v>50596.434545625001</v>
      </c>
      <c r="P60" s="333">
        <f t="shared" si="28"/>
        <v>50596.434545625001</v>
      </c>
      <c r="Q60" s="333">
        <f t="shared" si="28"/>
        <v>50596.434545625001</v>
      </c>
      <c r="R60" s="333">
        <f t="shared" ref="R60:BC60" si="29">Q60*(1+$C$8)</f>
        <v>50834.237787989434</v>
      </c>
      <c r="S60" s="333">
        <f t="shared" si="29"/>
        <v>51073.158705592978</v>
      </c>
      <c r="T60" s="333">
        <f t="shared" si="29"/>
        <v>51313.202551509261</v>
      </c>
      <c r="U60" s="333">
        <f t="shared" si="29"/>
        <v>51554.374603501354</v>
      </c>
      <c r="V60" s="333">
        <f t="shared" si="29"/>
        <v>51796.680164137804</v>
      </c>
      <c r="W60" s="333">
        <f t="shared" si="29"/>
        <v>52040.124560909251</v>
      </c>
      <c r="X60" s="333">
        <f t="shared" si="29"/>
        <v>52284.713146345523</v>
      </c>
      <c r="Y60" s="333">
        <f t="shared" si="29"/>
        <v>52530.451298133339</v>
      </c>
      <c r="Z60" s="333">
        <f t="shared" si="29"/>
        <v>52777.344419234563</v>
      </c>
      <c r="AA60" s="333">
        <f t="shared" si="29"/>
        <v>53025.397938004964</v>
      </c>
      <c r="AB60" s="333">
        <f t="shared" si="29"/>
        <v>53274.61730831358</v>
      </c>
      <c r="AC60" s="333">
        <f t="shared" si="29"/>
        <v>53525.008009662648</v>
      </c>
      <c r="AD60" s="333">
        <f t="shared" si="29"/>
        <v>53776.575547308057</v>
      </c>
      <c r="AE60" s="333">
        <f t="shared" si="29"/>
        <v>54029.325452380399</v>
      </c>
      <c r="AF60" s="333">
        <f t="shared" si="29"/>
        <v>54283.263282006585</v>
      </c>
      <c r="AG60" s="333">
        <f t="shared" si="29"/>
        <v>54538.394619432009</v>
      </c>
      <c r="AH60" s="333">
        <f t="shared" si="29"/>
        <v>54794.725074143338</v>
      </c>
      <c r="AI60" s="333">
        <f t="shared" si="29"/>
        <v>55052.26028199181</v>
      </c>
      <c r="AJ60" s="333">
        <f t="shared" si="29"/>
        <v>55311.005905317164</v>
      </c>
      <c r="AK60" s="333">
        <f t="shared" si="29"/>
        <v>55570.967633072149</v>
      </c>
      <c r="AL60" s="333">
        <f t="shared" si="29"/>
        <v>55832.151180947585</v>
      </c>
      <c r="AM60" s="333">
        <f t="shared" si="29"/>
        <v>56094.562291498034</v>
      </c>
      <c r="AN60" s="333">
        <f t="shared" si="29"/>
        <v>56358.206734268068</v>
      </c>
      <c r="AO60" s="333">
        <f t="shared" si="29"/>
        <v>56623.090305919126</v>
      </c>
      <c r="AP60" s="333">
        <f t="shared" si="29"/>
        <v>56889.218830356942</v>
      </c>
      <c r="AQ60" s="333">
        <f t="shared" si="29"/>
        <v>57156.598158859619</v>
      </c>
      <c r="AR60" s="333">
        <f t="shared" si="29"/>
        <v>57425.234170206255</v>
      </c>
      <c r="AS60" s="333">
        <f t="shared" si="29"/>
        <v>57695.132770806224</v>
      </c>
      <c r="AT60" s="333">
        <f t="shared" si="29"/>
        <v>57966.299894829011</v>
      </c>
      <c r="AU60" s="333">
        <f t="shared" si="29"/>
        <v>58238.741504334706</v>
      </c>
      <c r="AV60" s="333">
        <f t="shared" si="29"/>
        <v>58512.463589405073</v>
      </c>
      <c r="AW60" s="333">
        <f t="shared" si="29"/>
        <v>58787.472168275272</v>
      </c>
      <c r="AX60" s="333">
        <f t="shared" si="29"/>
        <v>59063.77328746616</v>
      </c>
      <c r="AY60" s="333">
        <f t="shared" si="29"/>
        <v>59341.373021917243</v>
      </c>
      <c r="AZ60" s="333">
        <f t="shared" si="29"/>
        <v>59620.277475120252</v>
      </c>
      <c r="BA60" s="333">
        <f t="shared" si="29"/>
        <v>59900.492779253313</v>
      </c>
      <c r="BB60" s="333">
        <f t="shared" si="29"/>
        <v>60182.025095315796</v>
      </c>
      <c r="BC60" s="333">
        <f t="shared" si="29"/>
        <v>60464.880613263776</v>
      </c>
      <c r="BD60" s="305"/>
      <c r="BE60" s="305"/>
      <c r="BF60" s="305"/>
    </row>
    <row r="61" spans="1:58" s="206" customFormat="1" ht="18" hidden="1" customHeight="1" outlineLevel="1" x14ac:dyDescent="0.3">
      <c r="B61" s="906" t="s">
        <v>671</v>
      </c>
      <c r="C61" s="328">
        <f>C35</f>
        <v>78000</v>
      </c>
      <c r="D61" s="330">
        <f>D35</f>
        <v>78366.599999999991</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3">
      <c r="B62" s="207" t="s">
        <v>992</v>
      </c>
      <c r="C62" s="1710">
        <v>0</v>
      </c>
      <c r="D62" s="306"/>
      <c r="E62" s="306"/>
      <c r="F62" s="306"/>
      <c r="G62" s="306"/>
      <c r="H62" s="306"/>
      <c r="I62" s="306"/>
      <c r="J62" s="306"/>
      <c r="K62" s="306"/>
      <c r="L62" s="306"/>
      <c r="M62" s="306"/>
      <c r="N62" s="306"/>
      <c r="O62" s="306"/>
      <c r="P62" s="306"/>
      <c r="Q62" s="306"/>
      <c r="R62" s="299"/>
    </row>
    <row r="63" spans="1:58" s="206" customFormat="1" ht="25.95" customHeight="1" collapsed="1" x14ac:dyDescent="0.3">
      <c r="B63" s="914" t="s">
        <v>407</v>
      </c>
      <c r="C63" s="306">
        <f>((C67+C70+C73+C76+C79+C82+C85+C88+'R&amp;C-Painel de Controle'!H21)+('R&amp;C-Painel de Controle'!$K$77*$H$27/5+'R&amp;C-Painel de Controle'!$K$75*$H$27/20+'R&amp;C-Painel de Controle'!$D$29+'R&amp;C-Painel de Controle'!$D$30)/3*(1+$C$62))</f>
        <v>40.365271459275199</v>
      </c>
      <c r="D63" s="306">
        <f>((D67+D70+D73+D76+D79+D82+D85+D88+'R&amp;C-Painel de Controle'!I21)+('R&amp;C-Painel de Controle'!$K$77*$H$27/5+'R&amp;C-Painel de Controle'!$K$75*$H$27/20+'R&amp;C-Painel de Controle'!$D$29+'R&amp;C-Painel de Controle'!$D$30)/3*(1+$C$62))</f>
        <v>46.69745867787509</v>
      </c>
      <c r="E63" s="306">
        <f>((E67+E70+E73+E76+E79+E82+E85+E88+'R&amp;C-Painel de Controle'!J21)+('R&amp;C-Painel de Controle'!$K$77*$H$27/5+'R&amp;C-Painel de Controle'!$K$75*$H$27/20+'R&amp;C-Painel de Controle'!$D$29+'R&amp;C-Painel de Controle'!$D$30)/3*(1+$C$62))</f>
        <v>55.585486073142917</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3">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3">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3">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3">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3">
      <c r="B68" s="906" t="str">
        <f>'R&amp;C-Painel de Controle'!F55</f>
        <v>Triagem Mecanizada</v>
      </c>
      <c r="C68" s="325" t="str">
        <f>'R&amp;C-Painel de Controle'!G55</f>
        <v>Sim</v>
      </c>
      <c r="D68" s="336">
        <f>'R&amp;C-Painel de Controle'!K55</f>
        <v>56.183509461433225</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3">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3">
      <c r="B70" s="277" t="s">
        <v>408</v>
      </c>
      <c r="C70" s="333">
        <f>C69*$D$68</f>
        <v>16.855052838429966</v>
      </c>
      <c r="D70" s="333">
        <f>D69*$D$68</f>
        <v>11.236701892286646</v>
      </c>
      <c r="E70" s="333">
        <f>E69*$D$68</f>
        <v>28.091754730716612</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3">
      <c r="B71" s="906" t="str">
        <f>'R&amp;C-Painel de Controle'!F58</f>
        <v>Produção de CDR TM — Trat. Mec.</v>
      </c>
      <c r="C71" s="325" t="str">
        <f>'R&amp;C-Painel de Controle'!G58</f>
        <v>Sim</v>
      </c>
      <c r="D71" s="336">
        <f>'R&amp;C-Painel de Controle'!K58</f>
        <v>11.907497729296832</v>
      </c>
    </row>
    <row r="72" spans="2:55" s="206" customFormat="1" ht="18" hidden="1" customHeight="1" outlineLevel="1" x14ac:dyDescent="0.3">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3">
      <c r="B73" s="277" t="s">
        <v>408</v>
      </c>
      <c r="C73" s="333">
        <f t="shared" ref="C73:BC73" si="35">C72*$D$71</f>
        <v>2.3814995458593664</v>
      </c>
      <c r="D73" s="334">
        <f t="shared" si="35"/>
        <v>5.953748864648416</v>
      </c>
      <c r="E73" s="333">
        <f t="shared" si="35"/>
        <v>3.5722493187890496</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3">
      <c r="B74" s="906" t="str">
        <f>'R&amp;C-Painel de Controle'!F61</f>
        <v>Prod. CDR TMB — Trat. Mec./Biológ.</v>
      </c>
      <c r="C74" s="325" t="str">
        <f>'R&amp;C-Painel de Controle'!G61</f>
        <v>Não</v>
      </c>
      <c r="D74" s="336">
        <f>'R&amp;C-Painel de Controle'!K61</f>
        <v>0</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3">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3">
      <c r="B76" s="277" t="s">
        <v>408</v>
      </c>
      <c r="C76" s="333">
        <f t="shared" ref="C76:BC76" si="36">C75*$D$74</f>
        <v>0</v>
      </c>
      <c r="D76" s="334">
        <f t="shared" si="36"/>
        <v>0</v>
      </c>
      <c r="E76" s="333">
        <f t="shared" si="36"/>
        <v>0</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3">
      <c r="B77" s="906" t="str">
        <f>'R&amp;C-Painel de Controle'!F64</f>
        <v>Biodigestão Anaeróbia</v>
      </c>
      <c r="C77" s="325" t="str">
        <f>'R&amp;C-Painel de Controle'!G64</f>
        <v>Não'</v>
      </c>
      <c r="D77" s="336">
        <f>'R&amp;C-Painel de Controle'!K64</f>
        <v>0</v>
      </c>
    </row>
    <row r="78" spans="2:55" s="206" customFormat="1" ht="18" hidden="1" customHeight="1" outlineLevel="1" x14ac:dyDescent="0.3">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3">
      <c r="B79" s="277" t="s">
        <v>408</v>
      </c>
      <c r="C79" s="333">
        <f t="shared" ref="C79:BC79" si="37">C78*$D$77</f>
        <v>0</v>
      </c>
      <c r="D79" s="334">
        <f t="shared" si="37"/>
        <v>0</v>
      </c>
      <c r="E79" s="333">
        <f t="shared" si="37"/>
        <v>0</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3">
      <c r="B80" s="906" t="str">
        <f>'R&amp;C-Painel de Controle'!F67</f>
        <v>Compostagem</v>
      </c>
      <c r="C80" s="325" t="str">
        <f>'R&amp;C-Painel de Controle'!G67</f>
        <v>Sim</v>
      </c>
      <c r="D80" s="336">
        <f>'R&amp;C-Painel de Controle'!K67</f>
        <v>12.82281108092012</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3">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3">
      <c r="B82" s="277" t="s">
        <v>408</v>
      </c>
      <c r="C82" s="333">
        <f t="shared" ref="C82:BC82" si="38">C81*$D$80</f>
        <v>2.564562216184024</v>
      </c>
      <c r="D82" s="334">
        <f t="shared" si="38"/>
        <v>6.4114055404600601</v>
      </c>
      <c r="E82" s="332">
        <f t="shared" si="38"/>
        <v>3.846843324276036</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3">
      <c r="B83" s="906" t="str">
        <f>'R&amp;C-Painel de Controle'!F70</f>
        <v>Incineração</v>
      </c>
      <c r="C83" s="325" t="str">
        <f>'R&amp;C-Painel de Controle'!G70</f>
        <v>Não</v>
      </c>
      <c r="D83" s="336">
        <f>'R&amp;C-Painel de Controle'!K70</f>
        <v>0</v>
      </c>
    </row>
    <row r="84" spans="1:58" s="206" customFormat="1" ht="18" hidden="1" customHeight="1" outlineLevel="1" x14ac:dyDescent="0.3">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3">
      <c r="B85" s="277" t="s">
        <v>408</v>
      </c>
      <c r="C85" s="333">
        <f t="shared" ref="C85:BC85" si="39">C84*$D$83</f>
        <v>0</v>
      </c>
      <c r="D85" s="334">
        <f t="shared" si="39"/>
        <v>0</v>
      </c>
      <c r="E85" s="332">
        <f t="shared" si="39"/>
        <v>0</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3">
      <c r="B86" s="906" t="str">
        <f>'R&amp;C-Painel de Controle'!F73</f>
        <v>Aterro Sanitário</v>
      </c>
      <c r="C86" s="325" t="str">
        <f>'R&amp;C-Painel de Controle'!G73</f>
        <v>Sim</v>
      </c>
      <c r="D86" s="336">
        <f>'R&amp;C-Painel de Controle'!K73</f>
        <v>15.104818405593752</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3">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3">
      <c r="B88" s="277" t="s">
        <v>408</v>
      </c>
      <c r="C88" s="333">
        <f t="shared" ref="C88:BC88" si="40">C87*$D$86</f>
        <v>3.0209636811187508</v>
      </c>
      <c r="D88" s="334">
        <f t="shared" si="40"/>
        <v>7.5524092027968761</v>
      </c>
      <c r="E88" s="332">
        <f t="shared" si="40"/>
        <v>4.5314455216781253</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3">
      <c r="B89" s="324"/>
      <c r="R89" s="299"/>
    </row>
    <row r="90" spans="1:58" s="206" customFormat="1" ht="25.95" customHeight="1" collapsed="1" x14ac:dyDescent="0.3">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18.228259275571091</v>
      </c>
      <c r="G90" s="306">
        <f>IF('R&amp;C-Painel de Controle'!$D$24="Não",G94+G97+G100+G103+G106+G109+G112+G115,G94+G97+G100+G103+G106+G109+G112+G115+'R&amp;C-Painel de Controle'!$L$91)</f>
        <v>18.228259275571091</v>
      </c>
      <c r="H90" s="306">
        <f>IF('R&amp;C-Painel de Controle'!$D$24="Não",H94+H97+H100+H103+H106+H109+H112+H115,H94+H97+H100+H103+H106+H109+H112+H115+'R&amp;C-Painel de Controle'!$L$91)</f>
        <v>18.228259275571091</v>
      </c>
      <c r="I90" s="306">
        <f>IF('R&amp;C-Painel de Controle'!$D$24="Não",I94+I97+I100+I103+I106+I109+I112+I115,I94+I97+I100+I103+I106+I109+I112+I115+'R&amp;C-Painel de Controle'!$L$91)</f>
        <v>18.228259275571091</v>
      </c>
      <c r="J90" s="306">
        <f>IF('R&amp;C-Painel de Controle'!$D$24="Não",J94+J97+J100+J103+J106+J109+J112+J115,J94+J97+J100+J103+J106+J109+J112+J115+'R&amp;C-Painel de Controle'!$L$91)</f>
        <v>18.228259275571091</v>
      </c>
      <c r="K90" s="306">
        <f>IF('R&amp;C-Painel de Controle'!$D$24="Não",K94+K97+K100+K103+K106+K109+K112+K115,K94+K97+K100+K103+K106+K109+K112+K115+'R&amp;C-Painel de Controle'!$L$91)</f>
        <v>18.228259275571091</v>
      </c>
      <c r="L90" s="306">
        <f>IF('R&amp;C-Painel de Controle'!$D$24="Não",L94+L97+L100+L103+L106+L109+L112+L115,L94+L97+L100+L103+L106+L109+L112+L115+'R&amp;C-Painel de Controle'!$L$91)</f>
        <v>18.228259275571091</v>
      </c>
      <c r="M90" s="306">
        <f>IF('R&amp;C-Painel de Controle'!$D$24="Não",M94+M97+M100+M103+M106+M109+M112+M115,M94+M97+M100+M103+M106+M109+M112+M115+'R&amp;C-Painel de Controle'!$L$91)</f>
        <v>18.228259275571091</v>
      </c>
      <c r="N90" s="306">
        <f>IF('R&amp;C-Painel de Controle'!$D$24="Não",N94+N97+N100+N103+N106+N109+N112+N115,N94+N97+N100+N103+N106+N109+N112+N115+'R&amp;C-Painel de Controle'!$L$91)</f>
        <v>18.228259275571091</v>
      </c>
      <c r="O90" s="306">
        <f>IF('R&amp;C-Painel de Controle'!$D$24="Não",O94+O97+O100+O103+O106+O109+O112+O115,O94+O97+O100+O103+O106+O109+O112+O115+'R&amp;C-Painel de Controle'!$L$91)</f>
        <v>18.228259275571091</v>
      </c>
      <c r="P90" s="306">
        <f>IF('R&amp;C-Painel de Controle'!$D$24="Não",P94+P97+P100+P103+P106+P109+P112+P115,P94+P97+P100+P103+P106+P109+P112+P115+'R&amp;C-Painel de Controle'!$L$91)</f>
        <v>18.228259275571091</v>
      </c>
      <c r="Q90" s="306">
        <f>IF('R&amp;C-Painel de Controle'!$D$24="Não",Q94+Q97+Q100+Q103+Q106+Q109+Q112+Q115,Q94+Q97+Q100+Q103+Q106+Q109+Q112+Q115+'R&amp;C-Painel de Controle'!$L$91)</f>
        <v>18.228259275571091</v>
      </c>
      <c r="R90" s="306">
        <f>IF('R&amp;C-Painel de Controle'!$D$24="Não",R94+R97+R100+R103+R106+R109+R112+R115,R94+R97+R100+R103+R106+R109+R112+R115+'R&amp;C-Painel de Controle'!$L$91)</f>
        <v>18.228259275571091</v>
      </c>
      <c r="S90" s="306">
        <f>IF('R&amp;C-Painel de Controle'!$D$24="Não",S94+S97+S100+S103+S106+S109+S112+S115,S94+S97+S100+S103+S106+S109+S112+S115+'R&amp;C-Painel de Controle'!$L$91)</f>
        <v>18.228259275571091</v>
      </c>
      <c r="T90" s="306">
        <f>IF('R&amp;C-Painel de Controle'!$D$24="Não",T94+T97+T100+T103+T106+T109+T112+T115,T94+T97+T100+T103+T106+T109+T112+T115+'R&amp;C-Painel de Controle'!$L$91)</f>
        <v>18.228259275571091</v>
      </c>
      <c r="U90" s="306">
        <f>IF('R&amp;C-Painel de Controle'!$D$24="Não",U94+U97+U100+U103+U106+U109+U112+U115,U94+U97+U100+U103+U106+U109+U112+U115+'R&amp;C-Painel de Controle'!$L$91)</f>
        <v>18.228259275571091</v>
      </c>
      <c r="V90" s="306">
        <f>IF('R&amp;C-Painel de Controle'!$D$24="Não",V94+V97+V100+V103+V106+V109+V112+V115,V94+V97+V100+V103+V106+V109+V112+V115+'R&amp;C-Painel de Controle'!$L$91)</f>
        <v>18.228259275571091</v>
      </c>
      <c r="W90" s="306">
        <f>IF('R&amp;C-Painel de Controle'!$D$24="Não",W94+W97+W100+W103+W106+W109+W112+W115,W94+W97+W100+W103+W106+W109+W112+W115+'R&amp;C-Painel de Controle'!$L$91)</f>
        <v>18.228259275571091</v>
      </c>
      <c r="X90" s="306">
        <f>IF('R&amp;C-Painel de Controle'!$D$24="Não",X94+X97+X100+X103+X106+X109+X112+X115,X94+X97+X100+X103+X106+X109+X112+X115+'R&amp;C-Painel de Controle'!$L$91)</f>
        <v>18.228259275571091</v>
      </c>
      <c r="Y90" s="306">
        <f>IF('R&amp;C-Painel de Controle'!$D$24="Não",Y94+Y97+Y100+Y103+Y106+Y109+Y112+Y115,Y94+Y97+Y100+Y103+Y106+Y109+Y112+Y115+'R&amp;C-Painel de Controle'!$L$91)</f>
        <v>18.228259275571091</v>
      </c>
      <c r="Z90" s="306">
        <f>IF('R&amp;C-Painel de Controle'!$D$24="Não",Z94+Z97+Z100+Z103+Z106+Z109+Z112+Z115,Z94+Z97+Z100+Z103+Z106+Z109+Z112+Z115+'R&amp;C-Painel de Controle'!$L$91)</f>
        <v>18.228259275571091</v>
      </c>
      <c r="AA90" s="306">
        <f>IF('R&amp;C-Painel de Controle'!$D$24="Não",AA94+AA97+AA100+AA103+AA106+AA109+AA112+AA115,AA94+AA97+AA100+AA103+AA106+AA109+AA112+AA115+'R&amp;C-Painel de Controle'!$L$91)</f>
        <v>18.228259275571091</v>
      </c>
      <c r="AB90" s="306">
        <f>IF('R&amp;C-Painel de Controle'!$D$24="Não",AB94+AB97+AB100+AB103+AB106+AB109+AB112+AB115,AB94+AB97+AB100+AB103+AB106+AB109+AB112+AB115+'R&amp;C-Painel de Controle'!$L$91)</f>
        <v>18.228259275571091</v>
      </c>
      <c r="AC90" s="306">
        <f>IF('R&amp;C-Painel de Controle'!$D$24="Não",AC94+AC97+AC100+AC103+AC106+AC109+AC112+AC115,AC94+AC97+AC100+AC103+AC106+AC109+AC112+AC115+'R&amp;C-Painel de Controle'!$L$91)</f>
        <v>18.228259275571091</v>
      </c>
      <c r="AD90" s="306">
        <f>IF('R&amp;C-Painel de Controle'!$D$24="Não",AD94+AD97+AD100+AD103+AD106+AD109+AD112+AD115,AD94+AD97+AD100+AD103+AD106+AD109+AD112+AD115+'R&amp;C-Painel de Controle'!$L$91)</f>
        <v>18.228259275571091</v>
      </c>
      <c r="AE90" s="306">
        <f>IF('R&amp;C-Painel de Controle'!$D$24="Não",AE94+AE97+AE100+AE103+AE106+AE109+AE112+AE115,AE94+AE97+AE100+AE103+AE106+AE109+AE112+AE115+'R&amp;C-Painel de Controle'!$L$91)</f>
        <v>18.228259275571091</v>
      </c>
      <c r="AF90" s="306">
        <f>IF('R&amp;C-Painel de Controle'!$D$24="Não",AF94+AF97+AF100+AF103+AF106+AF109+AF112+AF115,AF94+AF97+AF100+AF103+AF106+AF109+AF112+AF115+'R&amp;C-Painel de Controle'!$L$91)</f>
        <v>18.228259275571091</v>
      </c>
      <c r="AG90" s="306">
        <f>IF('R&amp;C-Painel de Controle'!$D$24="Não",AG94+AG97+AG100+AG103+AG106+AG109+AG112+AG115,AG94+AG97+AG100+AG103+AG106+AG109+AG112+AG115+'R&amp;C-Painel de Controle'!$L$91)</f>
        <v>18.228259275571091</v>
      </c>
      <c r="AH90" s="306">
        <f>IF('R&amp;C-Painel de Controle'!$D$24="Não",AH94+AH97+AH100+AH103+AH106+AH109+AH112+AH115,AH94+AH97+AH100+AH103+AH106+AH109+AH112+AH115+'R&amp;C-Painel de Controle'!$L$91)</f>
        <v>18.228259275571091</v>
      </c>
      <c r="AI90" s="306">
        <f>IF('R&amp;C-Painel de Controle'!$D$24="Não",AI94+AI97+AI100+AI103+AI106+AI109+AI112+AI115,AI94+AI97+AI100+AI103+AI106+AI109+AI112+AI115+'R&amp;C-Painel de Controle'!$L$91)</f>
        <v>18.228259275571091</v>
      </c>
      <c r="AJ90" s="306">
        <f>IF('R&amp;C-Painel de Controle'!$D$24="Não",AJ94+AJ97+AJ100+AJ103+AJ106+AJ109+AJ112+AJ115,AJ94+AJ97+AJ100+AJ103+AJ106+AJ109+AJ112+AJ115+'R&amp;C-Painel de Controle'!$L$91)</f>
        <v>18.228259275571091</v>
      </c>
      <c r="AK90" s="306">
        <f>IF('R&amp;C-Painel de Controle'!$D$24="Não",AK94+AK97+AK100+AK103+AK106+AK109+AK112+AK115,AK94+AK97+AK100+AK103+AK106+AK109+AK112+AK115+'R&amp;C-Painel de Controle'!$L$91)</f>
        <v>18.228259275571091</v>
      </c>
      <c r="AL90" s="306">
        <f>IF('R&amp;C-Painel de Controle'!$D$24="Não",AL94+AL97+AL100+AL103+AL106+AL109+AL112+AL115,AL94+AL97+AL100+AL103+AL106+AL109+AL112+AL115+'R&amp;C-Painel de Controle'!$L$91)</f>
        <v>18.228259275571091</v>
      </c>
      <c r="AM90" s="306">
        <f>IF('R&amp;C-Painel de Controle'!$D$24="Não",AM94+AM97+AM100+AM103+AM106+AM109+AM112+AM115,AM94+AM97+AM100+AM103+AM106+AM109+AM112+AM115+'R&amp;C-Painel de Controle'!$L$91)</f>
        <v>18.228259275571091</v>
      </c>
      <c r="AN90" s="306">
        <f>IF('R&amp;C-Painel de Controle'!$D$24="Não",AN94+AN97+AN100+AN103+AN106+AN109+AN112+AN115,AN94+AN97+AN100+AN103+AN106+AN109+AN112+AN115+'R&amp;C-Painel de Controle'!$L$91)</f>
        <v>18.228259275571091</v>
      </c>
      <c r="AO90" s="306">
        <f>IF('R&amp;C-Painel de Controle'!$D$24="Não",AO94+AO97+AO100+AO103+AO106+AO109+AO112+AO115,AO94+AO97+AO100+AO103+AO106+AO109+AO112+AO115+'R&amp;C-Painel de Controle'!$L$91)</f>
        <v>18.228259275571091</v>
      </c>
      <c r="AP90" s="306">
        <f>IF('R&amp;C-Painel de Controle'!$D$24="Não",AP94+AP97+AP100+AP103+AP106+AP109+AP112+AP115,AP94+AP97+AP100+AP103+AP106+AP109+AP112+AP115+'R&amp;C-Painel de Controle'!$L$91)</f>
        <v>18.228259275571091</v>
      </c>
      <c r="AQ90" s="306">
        <f>IF('R&amp;C-Painel de Controle'!$D$24="Não",AQ94+AQ97+AQ100+AQ103+AQ106+AQ109+AQ112+AQ115,AQ94+AQ97+AQ100+AQ103+AQ106+AQ109+AQ112+AQ115+'R&amp;C-Painel de Controle'!$L$91)</f>
        <v>18.228259275571091</v>
      </c>
      <c r="AR90" s="306">
        <f>IF('R&amp;C-Painel de Controle'!$D$24="Não",AR94+AR97+AR100+AR103+AR106+AR109+AR112+AR115,AR94+AR97+AR100+AR103+AR106+AR109+AR112+AR115+'R&amp;C-Painel de Controle'!$L$91)</f>
        <v>18.228259275571091</v>
      </c>
      <c r="AS90" s="306">
        <f>IF('R&amp;C-Painel de Controle'!$D$24="Não",AS94+AS97+AS100+AS103+AS106+AS109+AS112+AS115,AS94+AS97+AS100+AS103+AS106+AS109+AS112+AS115+'R&amp;C-Painel de Controle'!$L$91)</f>
        <v>18.228259275571091</v>
      </c>
      <c r="AT90" s="306">
        <f>IF('R&amp;C-Painel de Controle'!$D$24="Não",AT94+AT97+AT100+AT103+AT106+AT109+AT112+AT115,AT94+AT97+AT100+AT103+AT106+AT109+AT112+AT115+'R&amp;C-Painel de Controle'!$L$91)</f>
        <v>18.228259275571091</v>
      </c>
      <c r="AU90" s="306">
        <f>IF('R&amp;C-Painel de Controle'!$D$24="Não",AU94+AU97+AU100+AU103+AU106+AU109+AU112+AU115,AU94+AU97+AU100+AU103+AU106+AU109+AU112+AU115+'R&amp;C-Painel de Controle'!$L$91)</f>
        <v>18.228259275571091</v>
      </c>
      <c r="AV90" s="306">
        <f>IF('R&amp;C-Painel de Controle'!$D$24="Não",AV94+AV97+AV100+AV103+AV106+AV109+AV112+AV115,AV94+AV97+AV100+AV103+AV106+AV109+AV112+AV115+'R&amp;C-Painel de Controle'!$L$91)</f>
        <v>18.228259275571091</v>
      </c>
      <c r="AW90" s="306">
        <f>IF('R&amp;C-Painel de Controle'!$D$24="Não",AW94+AW97+AW100+AW103+AW106+AW109+AW112+AW115,AW94+AW97+AW100+AW103+AW106+AW109+AW112+AW115+'R&amp;C-Painel de Controle'!$L$91)</f>
        <v>18.228259275571091</v>
      </c>
      <c r="AX90" s="306">
        <f>IF('R&amp;C-Painel de Controle'!$D$24="Não",AX94+AX97+AX100+AX103+AX106+AX109+AX112+AX115,AX94+AX97+AX100+AX103+AX106+AX109+AX112+AX115+'R&amp;C-Painel de Controle'!$L$91)</f>
        <v>18.228259275571091</v>
      </c>
      <c r="AY90" s="306">
        <f>IF('R&amp;C-Painel de Controle'!$D$24="Não",AY94+AY97+AY100+AY103+AY106+AY109+AY112+AY115,AY94+AY97+AY100+AY103+AY106+AY109+AY112+AY115+'R&amp;C-Painel de Controle'!$L$91)</f>
        <v>18.228259275571091</v>
      </c>
      <c r="AZ90" s="306">
        <f>IF('R&amp;C-Painel de Controle'!$D$24="Não",AZ94+AZ97+AZ100+AZ103+AZ106+AZ109+AZ112+AZ115,AZ94+AZ97+AZ100+AZ103+AZ106+AZ109+AZ112+AZ115+'R&amp;C-Painel de Controle'!$L$91)</f>
        <v>18.228259275571091</v>
      </c>
      <c r="BA90" s="306">
        <f>IF('R&amp;C-Painel de Controle'!$D$24="Não",BA94+BA97+BA100+BA103+BA106+BA109+BA112+BA115,BA94+BA97+BA100+BA103+BA106+BA109+BA112+BA115+'R&amp;C-Painel de Controle'!$L$91)</f>
        <v>18.228259275571091</v>
      </c>
      <c r="BB90" s="306">
        <f>IF('R&amp;C-Painel de Controle'!$D$24="Não",BB94+BB97+BB100+BB103+BB106+BB109+BB112+BB115,BB94+BB97+BB100+BB103+BB106+BB109+BB112+BB115+'R&amp;C-Painel de Controle'!$L$91)</f>
        <v>18.228259275571091</v>
      </c>
      <c r="BC90" s="306">
        <f>IF('R&amp;C-Painel de Controle'!$D$24="Não",BC94+BC97+BC100+BC103+BC106+BC109+BC112+BC115,BC94+BC97+BC100+BC103+BC106+BC109+BC112+BC115+'R&amp;C-Painel de Controle'!$L$91)</f>
        <v>18.228259275571091</v>
      </c>
    </row>
    <row r="91" spans="1:58" s="206" customFormat="1" ht="18" hidden="1" customHeight="1" outlineLevel="1" x14ac:dyDescent="0.3">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3">
      <c r="B92" s="906" t="str">
        <f>B65</f>
        <v>Triagem Manual — Seletivos</v>
      </c>
      <c r="C92" s="325" t="str">
        <f>C37</f>
        <v>Não</v>
      </c>
      <c r="D92" s="325">
        <f>D37</f>
        <v>0</v>
      </c>
      <c r="E92" s="1479"/>
      <c r="R92" s="299"/>
    </row>
    <row r="93" spans="1:58" s="206" customFormat="1" ht="18" hidden="1" customHeight="1" outlineLevel="1" x14ac:dyDescent="0.3">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3">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3">
      <c r="B95" s="906" t="str">
        <f>B68</f>
        <v>Triagem Mecanizada</v>
      </c>
      <c r="C95" s="325" t="str">
        <f>C40</f>
        <v>Sim</v>
      </c>
      <c r="D95" s="325">
        <f>D40</f>
        <v>78250</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3">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3">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9.3102429969464833</v>
      </c>
      <c r="G97" s="327">
        <f>IF(G42&gt;0,'R&amp;C-Painel de Controle'!$O57+'R&amp;C-Painel de Controle'!$P57*G42/1000000,0)</f>
        <v>9.3102429969464833</v>
      </c>
      <c r="H97" s="327">
        <f>IF(H42&gt;0,'R&amp;C-Painel de Controle'!$O57+'R&amp;C-Painel de Controle'!$P57*H42/1000000,0)</f>
        <v>9.3102429969464833</v>
      </c>
      <c r="I97" s="327">
        <f>IF(I42&gt;0,'R&amp;C-Painel de Controle'!$O57+'R&amp;C-Painel de Controle'!$P57*I42/1000000,0)</f>
        <v>9.3102429969464833</v>
      </c>
      <c r="J97" s="327">
        <f>IF(J42&gt;0,'R&amp;C-Painel de Controle'!$O57+'R&amp;C-Painel de Controle'!$P57*J42/1000000,0)</f>
        <v>9.3102429969464833</v>
      </c>
      <c r="K97" s="327">
        <f>IF(K42&gt;0,'R&amp;C-Painel de Controle'!$O57+'R&amp;C-Painel de Controle'!$P57*K42/1000000,0)</f>
        <v>9.3102429969464833</v>
      </c>
      <c r="L97" s="327">
        <f>IF(L42&gt;0,'R&amp;C-Painel de Controle'!$O57+'R&amp;C-Painel de Controle'!$P57*L42/1000000,0)</f>
        <v>9.3102429969464833</v>
      </c>
      <c r="M97" s="327">
        <f>IF(M42&gt;0,'R&amp;C-Painel de Controle'!$O57+'R&amp;C-Painel de Controle'!$P57*M42/1000000,0)</f>
        <v>9.3102429969464833</v>
      </c>
      <c r="N97" s="327">
        <f>IF(N42&gt;0,'R&amp;C-Painel de Controle'!$O57+'R&amp;C-Painel de Controle'!$P57*N42/1000000,0)</f>
        <v>9.3102429969464833</v>
      </c>
      <c r="O97" s="327">
        <f>IF(O42&gt;0,'R&amp;C-Painel de Controle'!$O57+'R&amp;C-Painel de Controle'!$P57*O42/1000000,0)</f>
        <v>9.3102429969464833</v>
      </c>
      <c r="P97" s="327">
        <f>IF(P42&gt;0,'R&amp;C-Painel de Controle'!$O57+'R&amp;C-Painel de Controle'!$P57*P42/1000000,0)</f>
        <v>9.3102429969464833</v>
      </c>
      <c r="Q97" s="327">
        <f>IF(Q42&gt;0,'R&amp;C-Painel de Controle'!$O57+'R&amp;C-Painel de Controle'!$P57*Q42/1000000,0)</f>
        <v>9.3102429969464833</v>
      </c>
      <c r="R97" s="305">
        <f t="shared" ref="R97:BC97" si="42">Q97</f>
        <v>9.3102429969464833</v>
      </c>
      <c r="S97" s="305">
        <f t="shared" si="42"/>
        <v>9.3102429969464833</v>
      </c>
      <c r="T97" s="305">
        <f t="shared" si="42"/>
        <v>9.3102429969464833</v>
      </c>
      <c r="U97" s="305">
        <f t="shared" si="42"/>
        <v>9.3102429969464833</v>
      </c>
      <c r="V97" s="305">
        <f t="shared" si="42"/>
        <v>9.3102429969464833</v>
      </c>
      <c r="W97" s="305">
        <f t="shared" si="42"/>
        <v>9.3102429969464833</v>
      </c>
      <c r="X97" s="305">
        <f t="shared" si="42"/>
        <v>9.3102429969464833</v>
      </c>
      <c r="Y97" s="305">
        <f t="shared" si="42"/>
        <v>9.3102429969464833</v>
      </c>
      <c r="Z97" s="305">
        <f t="shared" si="42"/>
        <v>9.3102429969464833</v>
      </c>
      <c r="AA97" s="305">
        <f t="shared" si="42"/>
        <v>9.3102429969464833</v>
      </c>
      <c r="AB97" s="305">
        <f t="shared" si="42"/>
        <v>9.3102429969464833</v>
      </c>
      <c r="AC97" s="305">
        <f t="shared" si="42"/>
        <v>9.3102429969464833</v>
      </c>
      <c r="AD97" s="305">
        <f t="shared" si="42"/>
        <v>9.3102429969464833</v>
      </c>
      <c r="AE97" s="305">
        <f t="shared" si="42"/>
        <v>9.3102429969464833</v>
      </c>
      <c r="AF97" s="305">
        <f t="shared" si="42"/>
        <v>9.3102429969464833</v>
      </c>
      <c r="AG97" s="305">
        <f t="shared" si="42"/>
        <v>9.3102429969464833</v>
      </c>
      <c r="AH97" s="305">
        <f t="shared" si="42"/>
        <v>9.3102429969464833</v>
      </c>
      <c r="AI97" s="305">
        <f t="shared" si="42"/>
        <v>9.3102429969464833</v>
      </c>
      <c r="AJ97" s="305">
        <f t="shared" si="42"/>
        <v>9.3102429969464833</v>
      </c>
      <c r="AK97" s="305">
        <f t="shared" si="42"/>
        <v>9.3102429969464833</v>
      </c>
      <c r="AL97" s="305">
        <f t="shared" si="42"/>
        <v>9.3102429969464833</v>
      </c>
      <c r="AM97" s="305">
        <f t="shared" si="42"/>
        <v>9.3102429969464833</v>
      </c>
      <c r="AN97" s="305">
        <f t="shared" si="42"/>
        <v>9.3102429969464833</v>
      </c>
      <c r="AO97" s="305">
        <f t="shared" si="42"/>
        <v>9.3102429969464833</v>
      </c>
      <c r="AP97" s="305">
        <f t="shared" si="42"/>
        <v>9.3102429969464833</v>
      </c>
      <c r="AQ97" s="305">
        <f t="shared" si="42"/>
        <v>9.3102429969464833</v>
      </c>
      <c r="AR97" s="305">
        <f t="shared" si="42"/>
        <v>9.3102429969464833</v>
      </c>
      <c r="AS97" s="305">
        <f t="shared" si="42"/>
        <v>9.3102429969464833</v>
      </c>
      <c r="AT97" s="305">
        <f t="shared" si="42"/>
        <v>9.3102429969464833</v>
      </c>
      <c r="AU97" s="305">
        <f t="shared" si="42"/>
        <v>9.3102429969464833</v>
      </c>
      <c r="AV97" s="305">
        <f t="shared" si="42"/>
        <v>9.3102429969464833</v>
      </c>
      <c r="AW97" s="305">
        <f t="shared" si="42"/>
        <v>9.3102429969464833</v>
      </c>
      <c r="AX97" s="305">
        <f t="shared" si="42"/>
        <v>9.3102429969464833</v>
      </c>
      <c r="AY97" s="305">
        <f t="shared" si="42"/>
        <v>9.3102429969464833</v>
      </c>
      <c r="AZ97" s="305">
        <f t="shared" si="42"/>
        <v>9.3102429969464833</v>
      </c>
      <c r="BA97" s="305">
        <f t="shared" si="42"/>
        <v>9.3102429969464833</v>
      </c>
      <c r="BB97" s="305">
        <f t="shared" si="42"/>
        <v>9.3102429969464833</v>
      </c>
      <c r="BC97" s="305">
        <f t="shared" si="42"/>
        <v>9.3102429969464833</v>
      </c>
      <c r="BD97" s="305"/>
      <c r="BE97" s="305"/>
      <c r="BF97" s="305"/>
    </row>
    <row r="98" spans="2:58" s="206" customFormat="1" ht="18" hidden="1" customHeight="1" outlineLevel="1" x14ac:dyDescent="0.3">
      <c r="B98" s="906" t="str">
        <f>B71</f>
        <v>Produção de CDR TM — Trat. Mec.</v>
      </c>
      <c r="C98" s="325" t="str">
        <f>C43</f>
        <v>Sim</v>
      </c>
      <c r="D98" s="325">
        <f>D43</f>
        <v>29578.5</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3">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3">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1.7402250946735938</v>
      </c>
      <c r="G100" s="327">
        <f>IF(G45&gt;0,'R&amp;C-Painel de Controle'!$O60+'R&amp;C-Painel de Controle'!$P60*G45/1000000,0)</f>
        <v>1.7402250946735938</v>
      </c>
      <c r="H100" s="327">
        <f>IF(H45&gt;0,'R&amp;C-Painel de Controle'!$O60+'R&amp;C-Painel de Controle'!$P60*H45/1000000,0)</f>
        <v>1.7402250946735938</v>
      </c>
      <c r="I100" s="327">
        <f>IF(I45&gt;0,'R&amp;C-Painel de Controle'!$O60+'R&amp;C-Painel de Controle'!$P60*I45/1000000,0)</f>
        <v>1.7402250946735938</v>
      </c>
      <c r="J100" s="327">
        <f>IF(J45&gt;0,'R&amp;C-Painel de Controle'!$O60+'R&amp;C-Painel de Controle'!$P60*J45/1000000,0)</f>
        <v>1.7402250946735938</v>
      </c>
      <c r="K100" s="327">
        <f>IF(K45&gt;0,'R&amp;C-Painel de Controle'!$O60+'R&amp;C-Painel de Controle'!$P60*K45/1000000,0)</f>
        <v>1.7402250946735938</v>
      </c>
      <c r="L100" s="327">
        <f>IF(L45&gt;0,'R&amp;C-Painel de Controle'!$O60+'R&amp;C-Painel de Controle'!$P60*L45/1000000,0)</f>
        <v>1.7402250946735938</v>
      </c>
      <c r="M100" s="327">
        <f>IF(M45&gt;0,'R&amp;C-Painel de Controle'!$O60+'R&amp;C-Painel de Controle'!$P60*M45/1000000,0)</f>
        <v>1.7402250946735938</v>
      </c>
      <c r="N100" s="327">
        <f>IF(N45&gt;0,'R&amp;C-Painel de Controle'!$O60+'R&amp;C-Painel de Controle'!$P60*N45/1000000,0)</f>
        <v>1.7402250946735938</v>
      </c>
      <c r="O100" s="327">
        <f>IF(O45&gt;0,'R&amp;C-Painel de Controle'!$O60+'R&amp;C-Painel de Controle'!$P60*O45/1000000,0)</f>
        <v>1.7402250946735938</v>
      </c>
      <c r="P100" s="327">
        <f>IF(P45&gt;0,'R&amp;C-Painel de Controle'!$O60+'R&amp;C-Painel de Controle'!$P60*P45/1000000,0)</f>
        <v>1.7402250946735938</v>
      </c>
      <c r="Q100" s="327">
        <f>IF(Q45&gt;0,'R&amp;C-Painel de Controle'!$O60+'R&amp;C-Painel de Controle'!$P60*Q45/1000000,0)</f>
        <v>1.7402250946735938</v>
      </c>
      <c r="R100" s="305">
        <f t="shared" ref="R100:BC100" si="43">Q100</f>
        <v>1.7402250946735938</v>
      </c>
      <c r="S100" s="305">
        <f t="shared" si="43"/>
        <v>1.7402250946735938</v>
      </c>
      <c r="T100" s="305">
        <f t="shared" si="43"/>
        <v>1.7402250946735938</v>
      </c>
      <c r="U100" s="305">
        <f t="shared" si="43"/>
        <v>1.7402250946735938</v>
      </c>
      <c r="V100" s="305">
        <f t="shared" si="43"/>
        <v>1.7402250946735938</v>
      </c>
      <c r="W100" s="305">
        <f t="shared" si="43"/>
        <v>1.7402250946735938</v>
      </c>
      <c r="X100" s="305">
        <f t="shared" si="43"/>
        <v>1.7402250946735938</v>
      </c>
      <c r="Y100" s="305">
        <f t="shared" si="43"/>
        <v>1.7402250946735938</v>
      </c>
      <c r="Z100" s="305">
        <f t="shared" si="43"/>
        <v>1.7402250946735938</v>
      </c>
      <c r="AA100" s="305">
        <f t="shared" si="43"/>
        <v>1.7402250946735938</v>
      </c>
      <c r="AB100" s="305">
        <f t="shared" si="43"/>
        <v>1.7402250946735938</v>
      </c>
      <c r="AC100" s="305">
        <f t="shared" si="43"/>
        <v>1.7402250946735938</v>
      </c>
      <c r="AD100" s="305">
        <f t="shared" si="43"/>
        <v>1.7402250946735938</v>
      </c>
      <c r="AE100" s="305">
        <f t="shared" si="43"/>
        <v>1.7402250946735938</v>
      </c>
      <c r="AF100" s="305">
        <f t="shared" si="43"/>
        <v>1.7402250946735938</v>
      </c>
      <c r="AG100" s="305">
        <f t="shared" si="43"/>
        <v>1.7402250946735938</v>
      </c>
      <c r="AH100" s="305">
        <f t="shared" si="43"/>
        <v>1.7402250946735938</v>
      </c>
      <c r="AI100" s="305">
        <f t="shared" si="43"/>
        <v>1.7402250946735938</v>
      </c>
      <c r="AJ100" s="305">
        <f t="shared" si="43"/>
        <v>1.7402250946735938</v>
      </c>
      <c r="AK100" s="305">
        <f t="shared" si="43"/>
        <v>1.7402250946735938</v>
      </c>
      <c r="AL100" s="305">
        <f t="shared" si="43"/>
        <v>1.7402250946735938</v>
      </c>
      <c r="AM100" s="305">
        <f t="shared" si="43"/>
        <v>1.7402250946735938</v>
      </c>
      <c r="AN100" s="305">
        <f t="shared" si="43"/>
        <v>1.7402250946735938</v>
      </c>
      <c r="AO100" s="305">
        <f t="shared" si="43"/>
        <v>1.7402250946735938</v>
      </c>
      <c r="AP100" s="305">
        <f t="shared" si="43"/>
        <v>1.7402250946735938</v>
      </c>
      <c r="AQ100" s="305">
        <f t="shared" si="43"/>
        <v>1.7402250946735938</v>
      </c>
      <c r="AR100" s="305">
        <f t="shared" si="43"/>
        <v>1.7402250946735938</v>
      </c>
      <c r="AS100" s="305">
        <f t="shared" si="43"/>
        <v>1.7402250946735938</v>
      </c>
      <c r="AT100" s="305">
        <f t="shared" si="43"/>
        <v>1.7402250946735938</v>
      </c>
      <c r="AU100" s="305">
        <f t="shared" si="43"/>
        <v>1.7402250946735938</v>
      </c>
      <c r="AV100" s="305">
        <f t="shared" si="43"/>
        <v>1.7402250946735938</v>
      </c>
      <c r="AW100" s="305">
        <f t="shared" si="43"/>
        <v>1.7402250946735938</v>
      </c>
      <c r="AX100" s="305">
        <f t="shared" si="43"/>
        <v>1.7402250946735938</v>
      </c>
      <c r="AY100" s="305">
        <f t="shared" si="43"/>
        <v>1.7402250946735938</v>
      </c>
      <c r="AZ100" s="305">
        <f t="shared" si="43"/>
        <v>1.7402250946735938</v>
      </c>
      <c r="BA100" s="305">
        <f t="shared" si="43"/>
        <v>1.7402250946735938</v>
      </c>
      <c r="BB100" s="305">
        <f t="shared" si="43"/>
        <v>1.7402250946735938</v>
      </c>
      <c r="BC100" s="305">
        <f t="shared" si="43"/>
        <v>1.7402250946735938</v>
      </c>
      <c r="BD100" s="305"/>
      <c r="BE100" s="305"/>
      <c r="BF100" s="305"/>
    </row>
    <row r="101" spans="2:58" s="206" customFormat="1" ht="18" hidden="1" customHeight="1" outlineLevel="1" x14ac:dyDescent="0.3">
      <c r="B101" s="906" t="str">
        <f>B74</f>
        <v>Prod. CDR TMB — Trat. Mec./Biológ.</v>
      </c>
      <c r="C101" s="325" t="str">
        <f>C46</f>
        <v>Não</v>
      </c>
      <c r="D101" s="325">
        <f>D46</f>
        <v>0</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3">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3">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0</v>
      </c>
      <c r="G103" s="327">
        <f>IF(G48&gt;0,'R&amp;C-Painel de Controle'!$O63+'R&amp;C-Painel de Controle'!$P63*G48/1000000,0)</f>
        <v>0</v>
      </c>
      <c r="H103" s="327">
        <f>IF(H48&gt;0,'R&amp;C-Painel de Controle'!$O63+'R&amp;C-Painel de Controle'!$P63*H48/1000000,0)</f>
        <v>0</v>
      </c>
      <c r="I103" s="327">
        <f>IF(I48&gt;0,'R&amp;C-Painel de Controle'!$O63+'R&amp;C-Painel de Controle'!$P63*I48/1000000,0)</f>
        <v>0</v>
      </c>
      <c r="J103" s="327">
        <f>IF(J48&gt;0,'R&amp;C-Painel de Controle'!$O63+'R&amp;C-Painel de Controle'!$P63*J48/1000000,0)</f>
        <v>0</v>
      </c>
      <c r="K103" s="327">
        <f>IF(K48&gt;0,'R&amp;C-Painel de Controle'!$O63+'R&amp;C-Painel de Controle'!$P63*K48/1000000,0)</f>
        <v>0</v>
      </c>
      <c r="L103" s="327">
        <f>IF(L48&gt;0,'R&amp;C-Painel de Controle'!$O63+'R&amp;C-Painel de Controle'!$P63*L48/1000000,0)</f>
        <v>0</v>
      </c>
      <c r="M103" s="327">
        <f>IF(M48&gt;0,'R&amp;C-Painel de Controle'!$O63+'R&amp;C-Painel de Controle'!$P63*M48/1000000,0)</f>
        <v>0</v>
      </c>
      <c r="N103" s="327">
        <f>IF(N48&gt;0,'R&amp;C-Painel de Controle'!$O63+'R&amp;C-Painel de Controle'!$P63*N48/1000000,0)</f>
        <v>0</v>
      </c>
      <c r="O103" s="327">
        <f>IF(O48&gt;0,'R&amp;C-Painel de Controle'!$O63+'R&amp;C-Painel de Controle'!$P63*O48/1000000,0)</f>
        <v>0</v>
      </c>
      <c r="P103" s="327">
        <f>IF(P48&gt;0,'R&amp;C-Painel de Controle'!$O63+'R&amp;C-Painel de Controle'!$P63*P48/1000000,0)</f>
        <v>0</v>
      </c>
      <c r="Q103" s="327">
        <f>IF(Q48&gt;0,'R&amp;C-Painel de Controle'!$O63+'R&amp;C-Painel de Controle'!$P63*Q48/1000000,0)</f>
        <v>0</v>
      </c>
      <c r="R103" s="305">
        <f t="shared" ref="R103:BC103" si="44">Q103</f>
        <v>0</v>
      </c>
      <c r="S103" s="305">
        <f t="shared" si="44"/>
        <v>0</v>
      </c>
      <c r="T103" s="305">
        <f t="shared" si="44"/>
        <v>0</v>
      </c>
      <c r="U103" s="305">
        <f t="shared" si="44"/>
        <v>0</v>
      </c>
      <c r="V103" s="305">
        <f t="shared" si="44"/>
        <v>0</v>
      </c>
      <c r="W103" s="305">
        <f t="shared" si="44"/>
        <v>0</v>
      </c>
      <c r="X103" s="305">
        <f t="shared" si="44"/>
        <v>0</v>
      </c>
      <c r="Y103" s="305">
        <f t="shared" si="44"/>
        <v>0</v>
      </c>
      <c r="Z103" s="305">
        <f t="shared" si="44"/>
        <v>0</v>
      </c>
      <c r="AA103" s="305">
        <f t="shared" si="44"/>
        <v>0</v>
      </c>
      <c r="AB103" s="305">
        <f t="shared" si="44"/>
        <v>0</v>
      </c>
      <c r="AC103" s="305">
        <f t="shared" si="44"/>
        <v>0</v>
      </c>
      <c r="AD103" s="305">
        <f t="shared" si="44"/>
        <v>0</v>
      </c>
      <c r="AE103" s="305">
        <f t="shared" si="44"/>
        <v>0</v>
      </c>
      <c r="AF103" s="305">
        <f t="shared" si="44"/>
        <v>0</v>
      </c>
      <c r="AG103" s="305">
        <f t="shared" si="44"/>
        <v>0</v>
      </c>
      <c r="AH103" s="305">
        <f t="shared" si="44"/>
        <v>0</v>
      </c>
      <c r="AI103" s="305">
        <f t="shared" si="44"/>
        <v>0</v>
      </c>
      <c r="AJ103" s="305">
        <f t="shared" si="44"/>
        <v>0</v>
      </c>
      <c r="AK103" s="305">
        <f t="shared" si="44"/>
        <v>0</v>
      </c>
      <c r="AL103" s="305">
        <f t="shared" si="44"/>
        <v>0</v>
      </c>
      <c r="AM103" s="305">
        <f t="shared" si="44"/>
        <v>0</v>
      </c>
      <c r="AN103" s="305">
        <f t="shared" si="44"/>
        <v>0</v>
      </c>
      <c r="AO103" s="305">
        <f t="shared" si="44"/>
        <v>0</v>
      </c>
      <c r="AP103" s="305">
        <f t="shared" si="44"/>
        <v>0</v>
      </c>
      <c r="AQ103" s="305">
        <f t="shared" si="44"/>
        <v>0</v>
      </c>
      <c r="AR103" s="305">
        <f t="shared" si="44"/>
        <v>0</v>
      </c>
      <c r="AS103" s="305">
        <f t="shared" si="44"/>
        <v>0</v>
      </c>
      <c r="AT103" s="305">
        <f t="shared" si="44"/>
        <v>0</v>
      </c>
      <c r="AU103" s="305">
        <f t="shared" si="44"/>
        <v>0</v>
      </c>
      <c r="AV103" s="305">
        <f t="shared" si="44"/>
        <v>0</v>
      </c>
      <c r="AW103" s="305">
        <f t="shared" si="44"/>
        <v>0</v>
      </c>
      <c r="AX103" s="305">
        <f t="shared" si="44"/>
        <v>0</v>
      </c>
      <c r="AY103" s="305">
        <f t="shared" si="44"/>
        <v>0</v>
      </c>
      <c r="AZ103" s="305">
        <f t="shared" si="44"/>
        <v>0</v>
      </c>
      <c r="BA103" s="305">
        <f t="shared" si="44"/>
        <v>0</v>
      </c>
      <c r="BB103" s="305">
        <f t="shared" si="44"/>
        <v>0</v>
      </c>
      <c r="BC103" s="305">
        <f t="shared" si="44"/>
        <v>0</v>
      </c>
      <c r="BD103" s="305"/>
      <c r="BE103" s="305"/>
      <c r="BF103" s="305"/>
    </row>
    <row r="104" spans="2:58" s="206" customFormat="1" ht="18" hidden="1" customHeight="1" outlineLevel="1" x14ac:dyDescent="0.3">
      <c r="B104" s="906" t="str">
        <f>B77</f>
        <v>Biodigestão Anaeróbia</v>
      </c>
      <c r="C104" s="325" t="str">
        <f>C49</f>
        <v>Não'</v>
      </c>
      <c r="D104" s="325">
        <f>D49</f>
        <v>0</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3">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3">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0</v>
      </c>
      <c r="G106" s="327">
        <f>IF(G51&gt;0,'R&amp;C-Painel de Controle'!$O66+'R&amp;C-Painel de Controle'!$P66*G51/1000000,0)</f>
        <v>0</v>
      </c>
      <c r="H106" s="327">
        <f>IF(H51&gt;0,'R&amp;C-Painel de Controle'!$O66+'R&amp;C-Painel de Controle'!$P66*H51/1000000,0)</f>
        <v>0</v>
      </c>
      <c r="I106" s="327">
        <f>IF(I51&gt;0,'R&amp;C-Painel de Controle'!$O66+'R&amp;C-Painel de Controle'!$P66*I51/1000000,0)</f>
        <v>0</v>
      </c>
      <c r="J106" s="327">
        <f>IF(J51&gt;0,'R&amp;C-Painel de Controle'!$O66+'R&amp;C-Painel de Controle'!$P66*J51/1000000,0)</f>
        <v>0</v>
      </c>
      <c r="K106" s="327">
        <f>IF(K51&gt;0,'R&amp;C-Painel de Controle'!$O66+'R&amp;C-Painel de Controle'!$P66*K51/1000000,0)</f>
        <v>0</v>
      </c>
      <c r="L106" s="327">
        <f>IF(L51&gt;0,'R&amp;C-Painel de Controle'!$O66+'R&amp;C-Painel de Controle'!$P66*L51/1000000,0)</f>
        <v>0</v>
      </c>
      <c r="M106" s="327">
        <f>IF(M51&gt;0,'R&amp;C-Painel de Controle'!$O66+'R&amp;C-Painel de Controle'!$P66*M51/1000000,0)</f>
        <v>0</v>
      </c>
      <c r="N106" s="327">
        <f>IF(N51&gt;0,'R&amp;C-Painel de Controle'!$O66+'R&amp;C-Painel de Controle'!$P66*N51/1000000,0)</f>
        <v>0</v>
      </c>
      <c r="O106" s="327">
        <f>IF(O51&gt;0,'R&amp;C-Painel de Controle'!$O66+'R&amp;C-Painel de Controle'!$P66*O51/1000000,0)</f>
        <v>0</v>
      </c>
      <c r="P106" s="327">
        <f>IF(P51&gt;0,'R&amp;C-Painel de Controle'!$O66+'R&amp;C-Painel de Controle'!$P66*P51/1000000,0)</f>
        <v>0</v>
      </c>
      <c r="Q106" s="327">
        <f>IF(Q51&gt;0,'R&amp;C-Painel de Controle'!$O66+'R&amp;C-Painel de Controle'!$P66*Q51/1000000,0)</f>
        <v>0</v>
      </c>
      <c r="R106" s="305">
        <f t="shared" ref="R106:BC106" si="45">Q106</f>
        <v>0</v>
      </c>
      <c r="S106" s="305">
        <f t="shared" si="45"/>
        <v>0</v>
      </c>
      <c r="T106" s="305">
        <f t="shared" si="45"/>
        <v>0</v>
      </c>
      <c r="U106" s="305">
        <f t="shared" si="45"/>
        <v>0</v>
      </c>
      <c r="V106" s="305">
        <f t="shared" si="45"/>
        <v>0</v>
      </c>
      <c r="W106" s="305">
        <f t="shared" si="45"/>
        <v>0</v>
      </c>
      <c r="X106" s="305">
        <f t="shared" si="45"/>
        <v>0</v>
      </c>
      <c r="Y106" s="305">
        <f t="shared" si="45"/>
        <v>0</v>
      </c>
      <c r="Z106" s="305">
        <f t="shared" si="45"/>
        <v>0</v>
      </c>
      <c r="AA106" s="305">
        <f t="shared" si="45"/>
        <v>0</v>
      </c>
      <c r="AB106" s="305">
        <f t="shared" si="45"/>
        <v>0</v>
      </c>
      <c r="AC106" s="305">
        <f t="shared" si="45"/>
        <v>0</v>
      </c>
      <c r="AD106" s="305">
        <f t="shared" si="45"/>
        <v>0</v>
      </c>
      <c r="AE106" s="305">
        <f t="shared" si="45"/>
        <v>0</v>
      </c>
      <c r="AF106" s="305">
        <f t="shared" si="45"/>
        <v>0</v>
      </c>
      <c r="AG106" s="305">
        <f t="shared" si="45"/>
        <v>0</v>
      </c>
      <c r="AH106" s="305">
        <f t="shared" si="45"/>
        <v>0</v>
      </c>
      <c r="AI106" s="305">
        <f t="shared" si="45"/>
        <v>0</v>
      </c>
      <c r="AJ106" s="305">
        <f t="shared" si="45"/>
        <v>0</v>
      </c>
      <c r="AK106" s="305">
        <f t="shared" si="45"/>
        <v>0</v>
      </c>
      <c r="AL106" s="305">
        <f t="shared" si="45"/>
        <v>0</v>
      </c>
      <c r="AM106" s="305">
        <f t="shared" si="45"/>
        <v>0</v>
      </c>
      <c r="AN106" s="305">
        <f t="shared" si="45"/>
        <v>0</v>
      </c>
      <c r="AO106" s="305">
        <f t="shared" si="45"/>
        <v>0</v>
      </c>
      <c r="AP106" s="305">
        <f t="shared" si="45"/>
        <v>0</v>
      </c>
      <c r="AQ106" s="305">
        <f t="shared" si="45"/>
        <v>0</v>
      </c>
      <c r="AR106" s="305">
        <f t="shared" si="45"/>
        <v>0</v>
      </c>
      <c r="AS106" s="305">
        <f t="shared" si="45"/>
        <v>0</v>
      </c>
      <c r="AT106" s="305">
        <f t="shared" si="45"/>
        <v>0</v>
      </c>
      <c r="AU106" s="305">
        <f t="shared" si="45"/>
        <v>0</v>
      </c>
      <c r="AV106" s="305">
        <f t="shared" si="45"/>
        <v>0</v>
      </c>
      <c r="AW106" s="305">
        <f t="shared" si="45"/>
        <v>0</v>
      </c>
      <c r="AX106" s="305">
        <f t="shared" si="45"/>
        <v>0</v>
      </c>
      <c r="AY106" s="305">
        <f t="shared" si="45"/>
        <v>0</v>
      </c>
      <c r="AZ106" s="305">
        <f t="shared" si="45"/>
        <v>0</v>
      </c>
      <c r="BA106" s="305">
        <f t="shared" si="45"/>
        <v>0</v>
      </c>
      <c r="BB106" s="305">
        <f t="shared" si="45"/>
        <v>0</v>
      </c>
      <c r="BC106" s="305">
        <f t="shared" si="45"/>
        <v>0</v>
      </c>
      <c r="BD106" s="305"/>
      <c r="BE106" s="305"/>
      <c r="BF106" s="305"/>
    </row>
    <row r="107" spans="2:58" s="206" customFormat="1" ht="18" hidden="1" customHeight="1" outlineLevel="1" x14ac:dyDescent="0.3">
      <c r="B107" s="906" t="str">
        <f>B80</f>
        <v>Compostagem</v>
      </c>
      <c r="C107" s="325" t="str">
        <f>C52</f>
        <v>Sim</v>
      </c>
      <c r="D107" s="325">
        <f>D52</f>
        <v>34187.424999999996</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3">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3">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1.4079639789286416</v>
      </c>
      <c r="G109" s="327">
        <f>IF(G54&gt;0,'R&amp;C-Painel de Controle'!$O69+'R&amp;C-Painel de Controle'!$P69*G54/1000000,0)</f>
        <v>1.4079639789286416</v>
      </c>
      <c r="H109" s="327">
        <f>IF(H54&gt;0,'R&amp;C-Painel de Controle'!$O69+'R&amp;C-Painel de Controle'!$P69*H54/1000000,0)</f>
        <v>1.4079639789286416</v>
      </c>
      <c r="I109" s="327">
        <f>IF(I54&gt;0,'R&amp;C-Painel de Controle'!$O69+'R&amp;C-Painel de Controle'!$P69*I54/1000000,0)</f>
        <v>1.4079639789286416</v>
      </c>
      <c r="J109" s="327">
        <f>IF(J54&gt;0,'R&amp;C-Painel de Controle'!$O69+'R&amp;C-Painel de Controle'!$P69*J54/1000000,0)</f>
        <v>1.4079639789286416</v>
      </c>
      <c r="K109" s="327">
        <f>IF(K54&gt;0,'R&amp;C-Painel de Controle'!$O69+'R&amp;C-Painel de Controle'!$P69*K54/1000000,0)</f>
        <v>1.4079639789286416</v>
      </c>
      <c r="L109" s="327">
        <f>IF(L54&gt;0,'R&amp;C-Painel de Controle'!$O69+'R&amp;C-Painel de Controle'!$P69*L54/1000000,0)</f>
        <v>1.4079639789286416</v>
      </c>
      <c r="M109" s="327">
        <f>IF(M54&gt;0,'R&amp;C-Painel de Controle'!$O69+'R&amp;C-Painel de Controle'!$P69*M54/1000000,0)</f>
        <v>1.4079639789286416</v>
      </c>
      <c r="N109" s="327">
        <f>IF(N54&gt;0,'R&amp;C-Painel de Controle'!$O69+'R&amp;C-Painel de Controle'!$P69*N54/1000000,0)</f>
        <v>1.4079639789286416</v>
      </c>
      <c r="O109" s="327">
        <f>IF(O54&gt;0,'R&amp;C-Painel de Controle'!$O69+'R&amp;C-Painel de Controle'!$P69*O54/1000000,0)</f>
        <v>1.4079639789286416</v>
      </c>
      <c r="P109" s="327">
        <f>IF(P54&gt;0,'R&amp;C-Painel de Controle'!$O69+'R&amp;C-Painel de Controle'!$P69*P54/1000000,0)</f>
        <v>1.4079639789286416</v>
      </c>
      <c r="Q109" s="327">
        <f>IF(Q54&gt;0,'R&amp;C-Painel de Controle'!$O69+'R&amp;C-Painel de Controle'!$P69*Q54/1000000,0)</f>
        <v>1.4079639789286416</v>
      </c>
      <c r="R109" s="305">
        <f t="shared" ref="R109:BC109" si="46">Q109</f>
        <v>1.4079639789286416</v>
      </c>
      <c r="S109" s="305">
        <f t="shared" si="46"/>
        <v>1.4079639789286416</v>
      </c>
      <c r="T109" s="305">
        <f t="shared" si="46"/>
        <v>1.4079639789286416</v>
      </c>
      <c r="U109" s="305">
        <f t="shared" si="46"/>
        <v>1.4079639789286416</v>
      </c>
      <c r="V109" s="305">
        <f t="shared" si="46"/>
        <v>1.4079639789286416</v>
      </c>
      <c r="W109" s="305">
        <f t="shared" si="46"/>
        <v>1.4079639789286416</v>
      </c>
      <c r="X109" s="305">
        <f t="shared" si="46"/>
        <v>1.4079639789286416</v>
      </c>
      <c r="Y109" s="305">
        <f t="shared" si="46"/>
        <v>1.4079639789286416</v>
      </c>
      <c r="Z109" s="305">
        <f t="shared" si="46"/>
        <v>1.4079639789286416</v>
      </c>
      <c r="AA109" s="305">
        <f t="shared" si="46"/>
        <v>1.4079639789286416</v>
      </c>
      <c r="AB109" s="305">
        <f t="shared" si="46"/>
        <v>1.4079639789286416</v>
      </c>
      <c r="AC109" s="305">
        <f t="shared" si="46"/>
        <v>1.4079639789286416</v>
      </c>
      <c r="AD109" s="305">
        <f t="shared" si="46"/>
        <v>1.4079639789286416</v>
      </c>
      <c r="AE109" s="305">
        <f t="shared" si="46"/>
        <v>1.4079639789286416</v>
      </c>
      <c r="AF109" s="305">
        <f t="shared" si="46"/>
        <v>1.4079639789286416</v>
      </c>
      <c r="AG109" s="305">
        <f t="shared" si="46"/>
        <v>1.4079639789286416</v>
      </c>
      <c r="AH109" s="305">
        <f t="shared" si="46"/>
        <v>1.4079639789286416</v>
      </c>
      <c r="AI109" s="305">
        <f t="shared" si="46"/>
        <v>1.4079639789286416</v>
      </c>
      <c r="AJ109" s="305">
        <f t="shared" si="46"/>
        <v>1.4079639789286416</v>
      </c>
      <c r="AK109" s="305">
        <f t="shared" si="46"/>
        <v>1.4079639789286416</v>
      </c>
      <c r="AL109" s="305">
        <f t="shared" si="46"/>
        <v>1.4079639789286416</v>
      </c>
      <c r="AM109" s="305">
        <f t="shared" si="46"/>
        <v>1.4079639789286416</v>
      </c>
      <c r="AN109" s="305">
        <f t="shared" si="46"/>
        <v>1.4079639789286416</v>
      </c>
      <c r="AO109" s="305">
        <f t="shared" si="46"/>
        <v>1.4079639789286416</v>
      </c>
      <c r="AP109" s="305">
        <f t="shared" si="46"/>
        <v>1.4079639789286416</v>
      </c>
      <c r="AQ109" s="305">
        <f t="shared" si="46"/>
        <v>1.4079639789286416</v>
      </c>
      <c r="AR109" s="305">
        <f t="shared" si="46"/>
        <v>1.4079639789286416</v>
      </c>
      <c r="AS109" s="305">
        <f t="shared" si="46"/>
        <v>1.4079639789286416</v>
      </c>
      <c r="AT109" s="305">
        <f t="shared" si="46"/>
        <v>1.4079639789286416</v>
      </c>
      <c r="AU109" s="305">
        <f t="shared" si="46"/>
        <v>1.4079639789286416</v>
      </c>
      <c r="AV109" s="305">
        <f t="shared" si="46"/>
        <v>1.4079639789286416</v>
      </c>
      <c r="AW109" s="305">
        <f t="shared" si="46"/>
        <v>1.4079639789286416</v>
      </c>
      <c r="AX109" s="305">
        <f t="shared" si="46"/>
        <v>1.4079639789286416</v>
      </c>
      <c r="AY109" s="305">
        <f t="shared" si="46"/>
        <v>1.4079639789286416</v>
      </c>
      <c r="AZ109" s="305">
        <f t="shared" si="46"/>
        <v>1.4079639789286416</v>
      </c>
      <c r="BA109" s="305">
        <f t="shared" si="46"/>
        <v>1.4079639789286416</v>
      </c>
      <c r="BB109" s="305">
        <f t="shared" si="46"/>
        <v>1.4079639789286416</v>
      </c>
      <c r="BC109" s="305">
        <f t="shared" si="46"/>
        <v>1.4079639789286416</v>
      </c>
      <c r="BD109" s="305"/>
      <c r="BE109" s="305"/>
      <c r="BF109" s="305"/>
    </row>
    <row r="110" spans="2:58" s="206" customFormat="1" ht="18" hidden="1" customHeight="1" outlineLevel="1" x14ac:dyDescent="0.3">
      <c r="B110" s="906" t="str">
        <f>B83</f>
        <v>Incineração</v>
      </c>
      <c r="C110" s="325" t="str">
        <f>C55</f>
        <v>Não</v>
      </c>
      <c r="D110" s="325">
        <f>D55</f>
        <v>0</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3">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3">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0</v>
      </c>
      <c r="G112" s="327">
        <f>IF(G57&gt;0,'R&amp;C-Painel de Controle'!$O72+'R&amp;C-Painel de Controle'!$P72*G57/1000000,0)</f>
        <v>0</v>
      </c>
      <c r="H112" s="327">
        <f>IF(H57&gt;0,'R&amp;C-Painel de Controle'!$O72+'R&amp;C-Painel de Controle'!$P72*H57/1000000,0)</f>
        <v>0</v>
      </c>
      <c r="I112" s="327">
        <f>IF(I57&gt;0,'R&amp;C-Painel de Controle'!$O72+'R&amp;C-Painel de Controle'!$P72*I57/1000000,0)</f>
        <v>0</v>
      </c>
      <c r="J112" s="327">
        <f>IF(J57&gt;0,'R&amp;C-Painel de Controle'!$O72+'R&amp;C-Painel de Controle'!$P72*J57/1000000,0)</f>
        <v>0</v>
      </c>
      <c r="K112" s="327">
        <f>IF(K57&gt;0,'R&amp;C-Painel de Controle'!$O72+'R&amp;C-Painel de Controle'!$P72*K57/1000000,0)</f>
        <v>0</v>
      </c>
      <c r="L112" s="327">
        <f>IF(L57&gt;0,'R&amp;C-Painel de Controle'!$O72+'R&amp;C-Painel de Controle'!$P72*L57/1000000,0)</f>
        <v>0</v>
      </c>
      <c r="M112" s="327">
        <f>IF(M57&gt;0,'R&amp;C-Painel de Controle'!$O72+'R&amp;C-Painel de Controle'!$P72*M57/1000000,0)</f>
        <v>0</v>
      </c>
      <c r="N112" s="327">
        <f>IF(N57&gt;0,'R&amp;C-Painel de Controle'!$O72+'R&amp;C-Painel de Controle'!$P72*N57/1000000,0)</f>
        <v>0</v>
      </c>
      <c r="O112" s="327">
        <f>IF(O57&gt;0,'R&amp;C-Painel de Controle'!$O72+'R&amp;C-Painel de Controle'!$P72*O57/1000000,0)</f>
        <v>0</v>
      </c>
      <c r="P112" s="327">
        <f>IF(P57&gt;0,'R&amp;C-Painel de Controle'!$O72+'R&amp;C-Painel de Controle'!$P72*P57/1000000,0)</f>
        <v>0</v>
      </c>
      <c r="Q112" s="327">
        <f>IF(Q57&gt;0,'R&amp;C-Painel de Controle'!$O72+'R&amp;C-Painel de Controle'!$P72*Q57/1000000,0)</f>
        <v>0</v>
      </c>
      <c r="R112" s="305">
        <f t="shared" ref="R112:BC112" si="47">Q112</f>
        <v>0</v>
      </c>
      <c r="S112" s="305">
        <f t="shared" si="47"/>
        <v>0</v>
      </c>
      <c r="T112" s="305">
        <f t="shared" si="47"/>
        <v>0</v>
      </c>
      <c r="U112" s="305">
        <f t="shared" si="47"/>
        <v>0</v>
      </c>
      <c r="V112" s="305">
        <f t="shared" si="47"/>
        <v>0</v>
      </c>
      <c r="W112" s="305">
        <f t="shared" si="47"/>
        <v>0</v>
      </c>
      <c r="X112" s="305">
        <f t="shared" si="47"/>
        <v>0</v>
      </c>
      <c r="Y112" s="305">
        <f t="shared" si="47"/>
        <v>0</v>
      </c>
      <c r="Z112" s="305">
        <f t="shared" si="47"/>
        <v>0</v>
      </c>
      <c r="AA112" s="305">
        <f t="shared" si="47"/>
        <v>0</v>
      </c>
      <c r="AB112" s="305">
        <f t="shared" si="47"/>
        <v>0</v>
      </c>
      <c r="AC112" s="305">
        <f t="shared" si="47"/>
        <v>0</v>
      </c>
      <c r="AD112" s="305">
        <f t="shared" si="47"/>
        <v>0</v>
      </c>
      <c r="AE112" s="305">
        <f t="shared" si="47"/>
        <v>0</v>
      </c>
      <c r="AF112" s="305">
        <f t="shared" si="47"/>
        <v>0</v>
      </c>
      <c r="AG112" s="305">
        <f t="shared" si="47"/>
        <v>0</v>
      </c>
      <c r="AH112" s="305">
        <f t="shared" si="47"/>
        <v>0</v>
      </c>
      <c r="AI112" s="305">
        <f t="shared" si="47"/>
        <v>0</v>
      </c>
      <c r="AJ112" s="305">
        <f t="shared" si="47"/>
        <v>0</v>
      </c>
      <c r="AK112" s="305">
        <f t="shared" si="47"/>
        <v>0</v>
      </c>
      <c r="AL112" s="305">
        <f t="shared" si="47"/>
        <v>0</v>
      </c>
      <c r="AM112" s="305">
        <f t="shared" si="47"/>
        <v>0</v>
      </c>
      <c r="AN112" s="305">
        <f t="shared" si="47"/>
        <v>0</v>
      </c>
      <c r="AO112" s="305">
        <f t="shared" si="47"/>
        <v>0</v>
      </c>
      <c r="AP112" s="305">
        <f t="shared" si="47"/>
        <v>0</v>
      </c>
      <c r="AQ112" s="305">
        <f t="shared" si="47"/>
        <v>0</v>
      </c>
      <c r="AR112" s="305">
        <f t="shared" si="47"/>
        <v>0</v>
      </c>
      <c r="AS112" s="305">
        <f t="shared" si="47"/>
        <v>0</v>
      </c>
      <c r="AT112" s="305">
        <f t="shared" si="47"/>
        <v>0</v>
      </c>
      <c r="AU112" s="305">
        <f t="shared" si="47"/>
        <v>0</v>
      </c>
      <c r="AV112" s="305">
        <f t="shared" si="47"/>
        <v>0</v>
      </c>
      <c r="AW112" s="305">
        <f t="shared" si="47"/>
        <v>0</v>
      </c>
      <c r="AX112" s="305">
        <f t="shared" si="47"/>
        <v>0</v>
      </c>
      <c r="AY112" s="305">
        <f t="shared" si="47"/>
        <v>0</v>
      </c>
      <c r="AZ112" s="305">
        <f t="shared" si="47"/>
        <v>0</v>
      </c>
      <c r="BA112" s="305">
        <f t="shared" si="47"/>
        <v>0</v>
      </c>
      <c r="BB112" s="305">
        <f t="shared" si="47"/>
        <v>0</v>
      </c>
      <c r="BC112" s="305">
        <f t="shared" si="47"/>
        <v>0</v>
      </c>
      <c r="BD112" s="305"/>
      <c r="BE112" s="305"/>
      <c r="BF112" s="305"/>
    </row>
    <row r="113" spans="1:58" s="206" customFormat="1" ht="18" hidden="1" customHeight="1" outlineLevel="1" x14ac:dyDescent="0.3">
      <c r="B113" s="906" t="str">
        <f>B86</f>
        <v>Aterro Sanitário</v>
      </c>
      <c r="C113" s="325" t="str">
        <f>C58</f>
        <v>Sim</v>
      </c>
      <c r="D113" s="325">
        <f>D58</f>
        <v>50359.743750000001</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3">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3">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5.7698272050223736</v>
      </c>
      <c r="G115" s="327">
        <f>IF(G60&gt;0,'R&amp;C-Painel de Controle'!$O75+'R&amp;C-Painel de Controle'!$P75*G60/1000000,0)</f>
        <v>5.7698272050223736</v>
      </c>
      <c r="H115" s="327">
        <f>IF(H60&gt;0,'R&amp;C-Painel de Controle'!$O75+'R&amp;C-Painel de Controle'!$P75*H60/1000000,0)</f>
        <v>5.7698272050223736</v>
      </c>
      <c r="I115" s="327">
        <f>IF(I60&gt;0,'R&amp;C-Painel de Controle'!$O75+'R&amp;C-Painel de Controle'!$P75*I60/1000000,0)</f>
        <v>5.7698272050223736</v>
      </c>
      <c r="J115" s="327">
        <f>IF(J60&gt;0,'R&amp;C-Painel de Controle'!$O75+'R&amp;C-Painel de Controle'!$P75*J60/1000000,0)</f>
        <v>5.7698272050223736</v>
      </c>
      <c r="K115" s="327">
        <f>IF(K60&gt;0,'R&amp;C-Painel de Controle'!$O75+'R&amp;C-Painel de Controle'!$P75*K60/1000000,0)</f>
        <v>5.7698272050223736</v>
      </c>
      <c r="L115" s="327">
        <f>IF(L60&gt;0,'R&amp;C-Painel de Controle'!$O75+'R&amp;C-Painel de Controle'!$P75*L60/1000000,0)</f>
        <v>5.7698272050223736</v>
      </c>
      <c r="M115" s="327">
        <f>IF(M60&gt;0,'R&amp;C-Painel de Controle'!$O75+'R&amp;C-Painel de Controle'!$P75*M60/1000000,0)</f>
        <v>5.7698272050223736</v>
      </c>
      <c r="N115" s="327">
        <f>IF(N60&gt;0,'R&amp;C-Painel de Controle'!$O75+'R&amp;C-Painel de Controle'!$P75*N60/1000000,0)</f>
        <v>5.7698272050223736</v>
      </c>
      <c r="O115" s="327">
        <f>IF(O60&gt;0,'R&amp;C-Painel de Controle'!$O75+'R&amp;C-Painel de Controle'!$P75*O60/1000000,0)</f>
        <v>5.7698272050223736</v>
      </c>
      <c r="P115" s="327">
        <f>IF(P60&gt;0,'R&amp;C-Painel de Controle'!$O75+'R&amp;C-Painel de Controle'!$P75*P60/1000000,0)</f>
        <v>5.7698272050223736</v>
      </c>
      <c r="Q115" s="327">
        <f>IF(Q60&gt;0,'R&amp;C-Painel de Controle'!$O75+'R&amp;C-Painel de Controle'!$P75*Q60/1000000,0)</f>
        <v>5.7698272050223736</v>
      </c>
      <c r="R115" s="305">
        <f t="shared" ref="R115:BC115" si="48">Q115</f>
        <v>5.7698272050223736</v>
      </c>
      <c r="S115" s="305">
        <f t="shared" si="48"/>
        <v>5.7698272050223736</v>
      </c>
      <c r="T115" s="305">
        <f t="shared" si="48"/>
        <v>5.7698272050223736</v>
      </c>
      <c r="U115" s="305">
        <f t="shared" si="48"/>
        <v>5.7698272050223736</v>
      </c>
      <c r="V115" s="305">
        <f t="shared" si="48"/>
        <v>5.7698272050223736</v>
      </c>
      <c r="W115" s="305">
        <f t="shared" si="48"/>
        <v>5.7698272050223736</v>
      </c>
      <c r="X115" s="305">
        <f t="shared" si="48"/>
        <v>5.7698272050223736</v>
      </c>
      <c r="Y115" s="305">
        <f t="shared" si="48"/>
        <v>5.7698272050223736</v>
      </c>
      <c r="Z115" s="305">
        <f t="shared" si="48"/>
        <v>5.7698272050223736</v>
      </c>
      <c r="AA115" s="305">
        <f t="shared" si="48"/>
        <v>5.7698272050223736</v>
      </c>
      <c r="AB115" s="305">
        <f t="shared" si="48"/>
        <v>5.7698272050223736</v>
      </c>
      <c r="AC115" s="305">
        <f t="shared" si="48"/>
        <v>5.7698272050223736</v>
      </c>
      <c r="AD115" s="305">
        <f t="shared" si="48"/>
        <v>5.7698272050223736</v>
      </c>
      <c r="AE115" s="305">
        <f t="shared" si="48"/>
        <v>5.7698272050223736</v>
      </c>
      <c r="AF115" s="305">
        <f t="shared" si="48"/>
        <v>5.7698272050223736</v>
      </c>
      <c r="AG115" s="305">
        <f t="shared" si="48"/>
        <v>5.7698272050223736</v>
      </c>
      <c r="AH115" s="305">
        <f t="shared" si="48"/>
        <v>5.7698272050223736</v>
      </c>
      <c r="AI115" s="305">
        <f t="shared" si="48"/>
        <v>5.7698272050223736</v>
      </c>
      <c r="AJ115" s="305">
        <f t="shared" si="48"/>
        <v>5.7698272050223736</v>
      </c>
      <c r="AK115" s="305">
        <f t="shared" si="48"/>
        <v>5.7698272050223736</v>
      </c>
      <c r="AL115" s="305">
        <f t="shared" si="48"/>
        <v>5.7698272050223736</v>
      </c>
      <c r="AM115" s="305">
        <f t="shared" si="48"/>
        <v>5.7698272050223736</v>
      </c>
      <c r="AN115" s="305">
        <f t="shared" si="48"/>
        <v>5.7698272050223736</v>
      </c>
      <c r="AO115" s="305">
        <f t="shared" si="48"/>
        <v>5.7698272050223736</v>
      </c>
      <c r="AP115" s="305">
        <f t="shared" si="48"/>
        <v>5.7698272050223736</v>
      </c>
      <c r="AQ115" s="305">
        <f t="shared" si="48"/>
        <v>5.7698272050223736</v>
      </c>
      <c r="AR115" s="305">
        <f t="shared" si="48"/>
        <v>5.7698272050223736</v>
      </c>
      <c r="AS115" s="305">
        <f t="shared" si="48"/>
        <v>5.7698272050223736</v>
      </c>
      <c r="AT115" s="305">
        <f t="shared" si="48"/>
        <v>5.7698272050223736</v>
      </c>
      <c r="AU115" s="305">
        <f t="shared" si="48"/>
        <v>5.7698272050223736</v>
      </c>
      <c r="AV115" s="305">
        <f t="shared" si="48"/>
        <v>5.7698272050223736</v>
      </c>
      <c r="AW115" s="305">
        <f t="shared" si="48"/>
        <v>5.7698272050223736</v>
      </c>
      <c r="AX115" s="305">
        <f t="shared" si="48"/>
        <v>5.7698272050223736</v>
      </c>
      <c r="AY115" s="305">
        <f t="shared" si="48"/>
        <v>5.7698272050223736</v>
      </c>
      <c r="AZ115" s="305">
        <f t="shared" si="48"/>
        <v>5.7698272050223736</v>
      </c>
      <c r="BA115" s="305">
        <f t="shared" si="48"/>
        <v>5.7698272050223736</v>
      </c>
      <c r="BB115" s="305">
        <f t="shared" si="48"/>
        <v>5.7698272050223736</v>
      </c>
      <c r="BC115" s="305">
        <f t="shared" si="48"/>
        <v>5.7698272050223736</v>
      </c>
      <c r="BD115" s="305"/>
      <c r="BE115" s="305"/>
      <c r="BF115" s="305"/>
    </row>
    <row r="116" spans="1:58" s="206" customFormat="1" ht="18" customHeight="1" x14ac:dyDescent="0.3">
      <c r="B116" s="207"/>
      <c r="C116" s="306"/>
      <c r="D116" s="306"/>
      <c r="E116" s="306"/>
      <c r="F116" s="306"/>
      <c r="G116" s="306"/>
      <c r="H116" s="306"/>
      <c r="I116" s="306"/>
      <c r="J116" s="306"/>
      <c r="K116" s="306"/>
      <c r="L116" s="306"/>
      <c r="M116" s="306"/>
      <c r="N116" s="306"/>
      <c r="O116" s="306"/>
      <c r="P116" s="306"/>
      <c r="Q116" s="306"/>
      <c r="R116" s="299"/>
    </row>
    <row r="117" spans="1:58" s="206" customFormat="1" ht="25.95" customHeight="1" x14ac:dyDescent="0.3">
      <c r="B117" s="910" t="s">
        <v>672</v>
      </c>
      <c r="C117" s="306">
        <f>IF('R-Definição'!$E$121="Existente",C90+((('R&amp;C-Painel de Controle'!$D$88+'R&amp;C-Painel de Controle'!$D$89)*('R&amp;C-Painel de Controle'!$D$44+'R&amp;C-Painel de Controle'!$D$46))/1000000),C90+((('R&amp;C-Painel de Controle'!$D$88)*('R&amp;C-Painel de Controle'!$D$44+'R&amp;C-Painel de Controle'!$D$46))/1000000))</f>
        <v>1.5739425</v>
      </c>
      <c r="D117" s="306">
        <f>IF('R-Definição'!$E$121="Existente",D90+((('R&amp;C-Painel de Controle'!$D$88+'R&amp;C-Painel de Controle'!$D$89)*('R&amp;C-Painel de Controle'!$D$44+'R&amp;C-Painel de Controle'!$D$46))/1000000),D90+((('R&amp;C-Painel de Controle'!$D$88)*('R&amp;C-Painel de Controle'!$D$44+'R&amp;C-Painel de Controle'!$D$46))/1000000))</f>
        <v>1.5739425</v>
      </c>
      <c r="E117" s="306">
        <f>IF('R-Definição'!$E$121="Existente",E90+((('R&amp;C-Painel de Controle'!$D$88+'R&amp;C-Painel de Controle'!$D$89)*('R&amp;C-Painel de Controle'!$D$44+'R&amp;C-Painel de Controle'!$D$46))/1000000),E90+((('R&amp;C-Painel de Controle'!$D$88)*('R&amp;C-Painel de Controle'!$D$44+'R&amp;C-Painel de Controle'!$D$46))/1000000))</f>
        <v>1.5739425</v>
      </c>
      <c r="F117" s="306">
        <f>IF('R-Definição'!$E$121="Existente",F90+((('R&amp;C-Painel de Controle'!$D$88+'R&amp;C-Painel de Controle'!$D$89)*('R&amp;C-Painel de Controle'!$D$44+'R&amp;C-Painel de Controle'!$D$46))/1000000),F90+((('R&amp;C-Painel de Controle'!$D$88)*('R&amp;C-Painel de Controle'!$D$44+'R&amp;C-Painel de Controle'!$D$46))/1000000))</f>
        <v>19.802201775571092</v>
      </c>
      <c r="G117" s="306">
        <f>IF('R-Definição'!$E$121="Existente",G90+((('R&amp;C-Painel de Controle'!$D$88+'R&amp;C-Painel de Controle'!$D$89)*('R&amp;C-Painel de Controle'!$D$44+'R&amp;C-Painel de Controle'!$D$46))/1000000),G90+((('R&amp;C-Painel de Controle'!$D$88)*('R&amp;C-Painel de Controle'!$D$44+'R&amp;C-Painel de Controle'!$D$46))/1000000))</f>
        <v>19.802201775571092</v>
      </c>
      <c r="H117" s="306">
        <f>IF('R-Definição'!$E$121="Existente",H90+((('R&amp;C-Painel de Controle'!$D$88+'R&amp;C-Painel de Controle'!$D$89)*('R&amp;C-Painel de Controle'!$D$44+'R&amp;C-Painel de Controle'!$D$46))/1000000),H90+((('R&amp;C-Painel de Controle'!$D$88)*('R&amp;C-Painel de Controle'!$D$44+'R&amp;C-Painel de Controle'!$D$46))/1000000))</f>
        <v>19.802201775571092</v>
      </c>
      <c r="I117" s="306">
        <f>IF('R-Definição'!$E$121="Existente",I90+((('R&amp;C-Painel de Controle'!$D$88+'R&amp;C-Painel de Controle'!$D$89)*('R&amp;C-Painel de Controle'!$D$44+'R&amp;C-Painel de Controle'!$D$46))/1000000),I90+((('R&amp;C-Painel de Controle'!$D$88)*('R&amp;C-Painel de Controle'!$D$44+'R&amp;C-Painel de Controle'!$D$46))/1000000))</f>
        <v>19.802201775571092</v>
      </c>
      <c r="J117" s="306">
        <f>IF('R-Definição'!$E$121="Existente",J90+((('R&amp;C-Painel de Controle'!$D$88+'R&amp;C-Painel de Controle'!$D$89)*('R&amp;C-Painel de Controle'!$D$44+'R&amp;C-Painel de Controle'!$D$46))/1000000),J90+((('R&amp;C-Painel de Controle'!$D$88)*('R&amp;C-Painel de Controle'!$D$44+'R&amp;C-Painel de Controle'!$D$46))/1000000))</f>
        <v>19.802201775571092</v>
      </c>
      <c r="K117" s="306">
        <f>IF('R-Definição'!$E$121="Existente",K90+((('R&amp;C-Painel de Controle'!$D$88+'R&amp;C-Painel de Controle'!$D$89)*('R&amp;C-Painel de Controle'!$D$44+'R&amp;C-Painel de Controle'!$D$46))/1000000),K90+((('R&amp;C-Painel de Controle'!$D$88)*('R&amp;C-Painel de Controle'!$D$44+'R&amp;C-Painel de Controle'!$D$46))/1000000))</f>
        <v>19.802201775571092</v>
      </c>
      <c r="L117" s="306">
        <f>IF('R-Definição'!$E$121="Existente",L90+((('R&amp;C-Painel de Controle'!$D$88+'R&amp;C-Painel de Controle'!$D$89)*('R&amp;C-Painel de Controle'!$D$44+'R&amp;C-Painel de Controle'!$D$46))/1000000),L90+((('R&amp;C-Painel de Controle'!$D$88)*('R&amp;C-Painel de Controle'!$D$44+'R&amp;C-Painel de Controle'!$D$46))/1000000))</f>
        <v>19.802201775571092</v>
      </c>
      <c r="M117" s="306">
        <f>IF('R-Definição'!$E$121="Existente",M90+((('R&amp;C-Painel de Controle'!$D$88+'R&amp;C-Painel de Controle'!$D$89)*('R&amp;C-Painel de Controle'!$D$44+'R&amp;C-Painel de Controle'!$D$46))/1000000),M90+((('R&amp;C-Painel de Controle'!$D$88)*('R&amp;C-Painel de Controle'!$D$44+'R&amp;C-Painel de Controle'!$D$46))/1000000))</f>
        <v>19.802201775571092</v>
      </c>
      <c r="N117" s="306">
        <f>IF('R-Definição'!$E$121="Existente",N90+((('R&amp;C-Painel de Controle'!$D$88+'R&amp;C-Painel de Controle'!$D$89)*('R&amp;C-Painel de Controle'!$D$44+'R&amp;C-Painel de Controle'!$D$46))/1000000),N90+((('R&amp;C-Painel de Controle'!$D$88)*('R&amp;C-Painel de Controle'!$D$44+'R&amp;C-Painel de Controle'!$D$46))/1000000))</f>
        <v>19.802201775571092</v>
      </c>
      <c r="O117" s="306">
        <f>IF('R-Definição'!$E$121="Existente",O90+((('R&amp;C-Painel de Controle'!$D$88+'R&amp;C-Painel de Controle'!$D$89)*('R&amp;C-Painel de Controle'!$D$44+'R&amp;C-Painel de Controle'!$D$46))/1000000),O90+((('R&amp;C-Painel de Controle'!$D$88)*('R&amp;C-Painel de Controle'!$D$44+'R&amp;C-Painel de Controle'!$D$46))/1000000))</f>
        <v>19.802201775571092</v>
      </c>
      <c r="P117" s="306">
        <f>IF('R-Definição'!$E$121="Existente",P90+((('R&amp;C-Painel de Controle'!$D$88+'R&amp;C-Painel de Controle'!$D$89)*('R&amp;C-Painel de Controle'!$D$44+'R&amp;C-Painel de Controle'!$D$46))/1000000),P90+((('R&amp;C-Painel de Controle'!$D$88)*('R&amp;C-Painel de Controle'!$D$44+'R&amp;C-Painel de Controle'!$D$46))/1000000))</f>
        <v>19.802201775571092</v>
      </c>
      <c r="Q117" s="306">
        <f>IF('R-Definição'!$E$121="Existente",Q90+((('R&amp;C-Painel de Controle'!$D$88+'R&amp;C-Painel de Controle'!$D$89)*('R&amp;C-Painel de Controle'!$D$44+'R&amp;C-Painel de Controle'!$D$46))/1000000),Q90+((('R&amp;C-Painel de Controle'!$D$88)*('R&amp;C-Painel de Controle'!$D$44+'R&amp;C-Painel de Controle'!$D$46))/1000000))</f>
        <v>19.802201775571092</v>
      </c>
      <c r="R117" s="306">
        <f>IF('R-Definição'!$E$121="Existente",R90+((('R&amp;C-Painel de Controle'!$D$88+'R&amp;C-Painel de Controle'!$D$89)*('R&amp;C-Painel de Controle'!$D$44+'R&amp;C-Painel de Controle'!$D$46))/1000000),R90+((('R&amp;C-Painel de Controle'!$D$88)*('R&amp;C-Painel de Controle'!$D$44+'R&amp;C-Painel de Controle'!$D$46))/1000000))</f>
        <v>19.802201775571092</v>
      </c>
      <c r="S117" s="306">
        <f>IF('R-Definição'!$E$121="Existente",S90+((('R&amp;C-Painel de Controle'!$D$88+'R&amp;C-Painel de Controle'!$D$89)*('R&amp;C-Painel de Controle'!$D$44+'R&amp;C-Painel de Controle'!$D$46))/1000000),S90+((('R&amp;C-Painel de Controle'!$D$88)*('R&amp;C-Painel de Controle'!$D$44+'R&amp;C-Painel de Controle'!$D$46))/1000000))</f>
        <v>19.802201775571092</v>
      </c>
      <c r="T117" s="306">
        <f>IF('R-Definição'!$E$121="Existente",T90+((('R&amp;C-Painel de Controle'!$D$88+'R&amp;C-Painel de Controle'!$D$89)*('R&amp;C-Painel de Controle'!$D$44+'R&amp;C-Painel de Controle'!$D$46))/1000000),T90+((('R&amp;C-Painel de Controle'!$D$88)*('R&amp;C-Painel de Controle'!$D$44+'R&amp;C-Painel de Controle'!$D$46))/1000000))</f>
        <v>19.802201775571092</v>
      </c>
      <c r="U117" s="306">
        <f>IF('R-Definição'!$E$121="Existente",U90+((('R&amp;C-Painel de Controle'!$D$88+'R&amp;C-Painel de Controle'!$D$89)*('R&amp;C-Painel de Controle'!$D$44+'R&amp;C-Painel de Controle'!$D$46))/1000000),U90+((('R&amp;C-Painel de Controle'!$D$88)*('R&amp;C-Painel de Controle'!$D$44+'R&amp;C-Painel de Controle'!$D$46))/1000000))</f>
        <v>19.802201775571092</v>
      </c>
      <c r="V117" s="306">
        <f>IF('R-Definição'!$E$121="Existente",V90+((('R&amp;C-Painel de Controle'!$D$88+'R&amp;C-Painel de Controle'!$D$89)*('R&amp;C-Painel de Controle'!$D$44+'R&amp;C-Painel de Controle'!$D$46))/1000000),V90+((('R&amp;C-Painel de Controle'!$D$88)*('R&amp;C-Painel de Controle'!$D$44+'R&amp;C-Painel de Controle'!$D$46))/1000000))</f>
        <v>19.802201775571092</v>
      </c>
      <c r="W117" s="306">
        <f>IF('R-Definição'!$E$121="Existente",W90+((('R&amp;C-Painel de Controle'!$D$88+'R&amp;C-Painel de Controle'!$D$89)*('R&amp;C-Painel de Controle'!$D$44+'R&amp;C-Painel de Controle'!$D$46))/1000000),W90+((('R&amp;C-Painel de Controle'!$D$88)*('R&amp;C-Painel de Controle'!$D$44+'R&amp;C-Painel de Controle'!$D$46))/1000000))</f>
        <v>19.802201775571092</v>
      </c>
      <c r="X117" s="306">
        <f>IF('R-Definição'!$E$121="Existente",X90+((('R&amp;C-Painel de Controle'!$D$88+'R&amp;C-Painel de Controle'!$D$89)*('R&amp;C-Painel de Controle'!$D$44+'R&amp;C-Painel de Controle'!$D$46))/1000000),X90+((('R&amp;C-Painel de Controle'!$D$88)*('R&amp;C-Painel de Controle'!$D$44+'R&amp;C-Painel de Controle'!$D$46))/1000000))</f>
        <v>19.802201775571092</v>
      </c>
      <c r="Y117" s="306">
        <f>IF('R-Definição'!$E$121="Existente",Y90+((('R&amp;C-Painel de Controle'!$D$88+'R&amp;C-Painel de Controle'!$D$89)*('R&amp;C-Painel de Controle'!$D$44+'R&amp;C-Painel de Controle'!$D$46))/1000000),Y90+((('R&amp;C-Painel de Controle'!$D$88)*('R&amp;C-Painel de Controle'!$D$44+'R&amp;C-Painel de Controle'!$D$46))/1000000))</f>
        <v>19.802201775571092</v>
      </c>
      <c r="Z117" s="306">
        <f>IF('R-Definição'!$E$121="Existente",Z90+((('R&amp;C-Painel de Controle'!$D$88+'R&amp;C-Painel de Controle'!$D$89)*('R&amp;C-Painel de Controle'!$D$44+'R&amp;C-Painel de Controle'!$D$46))/1000000),Z90+((('R&amp;C-Painel de Controle'!$D$88)*('R&amp;C-Painel de Controle'!$D$44+'R&amp;C-Painel de Controle'!$D$46))/1000000))</f>
        <v>19.802201775571092</v>
      </c>
      <c r="AA117" s="306">
        <f>IF('R-Definição'!$E$121="Existente",AA90+((('R&amp;C-Painel de Controle'!$D$88+'R&amp;C-Painel de Controle'!$D$89)*('R&amp;C-Painel de Controle'!$D$44+'R&amp;C-Painel de Controle'!$D$46))/1000000),AA90+((('R&amp;C-Painel de Controle'!$D$88)*('R&amp;C-Painel de Controle'!$D$44+'R&amp;C-Painel de Controle'!$D$46))/1000000))</f>
        <v>19.802201775571092</v>
      </c>
      <c r="AB117" s="306">
        <f>IF('R-Definição'!$E$121="Existente",AB90+((('R&amp;C-Painel de Controle'!$D$88+'R&amp;C-Painel de Controle'!$D$89)*('R&amp;C-Painel de Controle'!$D$44+'R&amp;C-Painel de Controle'!$D$46))/1000000),AB90+((('R&amp;C-Painel de Controle'!$D$88)*('R&amp;C-Painel de Controle'!$D$44+'R&amp;C-Painel de Controle'!$D$46))/1000000))</f>
        <v>19.802201775571092</v>
      </c>
      <c r="AC117" s="306">
        <f>IF('R-Definição'!$E$121="Existente",AC90+((('R&amp;C-Painel de Controle'!$D$88+'R&amp;C-Painel de Controle'!$D$89)*('R&amp;C-Painel de Controle'!$D$44+'R&amp;C-Painel de Controle'!$D$46))/1000000),AC90+((('R&amp;C-Painel de Controle'!$D$88)*('R&amp;C-Painel de Controle'!$D$44+'R&amp;C-Painel de Controle'!$D$46))/1000000))</f>
        <v>19.802201775571092</v>
      </c>
      <c r="AD117" s="306">
        <f>IF('R-Definição'!$E$121="Existente",AD90+((('R&amp;C-Painel de Controle'!$D$88+'R&amp;C-Painel de Controle'!$D$89)*('R&amp;C-Painel de Controle'!$D$44+'R&amp;C-Painel de Controle'!$D$46))/1000000),AD90+((('R&amp;C-Painel de Controle'!$D$88)*('R&amp;C-Painel de Controle'!$D$44+'R&amp;C-Painel de Controle'!$D$46))/1000000))</f>
        <v>19.802201775571092</v>
      </c>
      <c r="AE117" s="306">
        <f>IF('R-Definição'!$E$121="Existente",AE90+((('R&amp;C-Painel de Controle'!$D$88+'R&amp;C-Painel de Controle'!$D$89)*('R&amp;C-Painel de Controle'!$D$44+'R&amp;C-Painel de Controle'!$D$46))/1000000),AE90+((('R&amp;C-Painel de Controle'!$D$88)*('R&amp;C-Painel de Controle'!$D$44+'R&amp;C-Painel de Controle'!$D$46))/1000000))</f>
        <v>19.802201775571092</v>
      </c>
      <c r="AF117" s="306">
        <f>IF('R-Definição'!$E$121="Existente",AF90+((('R&amp;C-Painel de Controle'!$D$88+'R&amp;C-Painel de Controle'!$D$89)*('R&amp;C-Painel de Controle'!$D$44+'R&amp;C-Painel de Controle'!$D$46))/1000000),AF90+((('R&amp;C-Painel de Controle'!$D$88)*('R&amp;C-Painel de Controle'!$D$44+'R&amp;C-Painel de Controle'!$D$46))/1000000))</f>
        <v>19.802201775571092</v>
      </c>
      <c r="AG117" s="306">
        <f>IF('R-Definição'!$E$121="Existente",AG90+((('R&amp;C-Painel de Controle'!$D$88+'R&amp;C-Painel de Controle'!$D$89)*('R&amp;C-Painel de Controle'!$D$44+'R&amp;C-Painel de Controle'!$D$46))/1000000),AG90+((('R&amp;C-Painel de Controle'!$D$88)*('R&amp;C-Painel de Controle'!$D$44+'R&amp;C-Painel de Controle'!$D$46))/1000000))</f>
        <v>19.802201775571092</v>
      </c>
      <c r="AH117" s="306">
        <f>IF('R-Definição'!$E$121="Existente",AH90+((('R&amp;C-Painel de Controle'!$D$88+'R&amp;C-Painel de Controle'!$D$89)*('R&amp;C-Painel de Controle'!$D$44+'R&amp;C-Painel de Controle'!$D$46))/1000000),AH90+((('R&amp;C-Painel de Controle'!$D$88)*('R&amp;C-Painel de Controle'!$D$44+'R&amp;C-Painel de Controle'!$D$46))/1000000))</f>
        <v>19.802201775571092</v>
      </c>
      <c r="AI117" s="306">
        <f>IF('R-Definição'!$E$121="Existente",AI90+((('R&amp;C-Painel de Controle'!$D$88+'R&amp;C-Painel de Controle'!$D$89)*('R&amp;C-Painel de Controle'!$D$44+'R&amp;C-Painel de Controle'!$D$46))/1000000),AI90+((('R&amp;C-Painel de Controle'!$D$88)*('R&amp;C-Painel de Controle'!$D$44+'R&amp;C-Painel de Controle'!$D$46))/1000000))</f>
        <v>19.802201775571092</v>
      </c>
      <c r="AJ117" s="306">
        <f>IF('R-Definição'!$E$121="Existente",AJ90+((('R&amp;C-Painel de Controle'!$D$88+'R&amp;C-Painel de Controle'!$D$89)*('R&amp;C-Painel de Controle'!$D$44+'R&amp;C-Painel de Controle'!$D$46))/1000000),AJ90+((('R&amp;C-Painel de Controle'!$D$88)*('R&amp;C-Painel de Controle'!$D$44+'R&amp;C-Painel de Controle'!$D$46))/1000000))</f>
        <v>19.802201775571092</v>
      </c>
      <c r="AK117" s="306">
        <f>IF('R-Definição'!$E$121="Existente",AK90+((('R&amp;C-Painel de Controle'!$D$88+'R&amp;C-Painel de Controle'!$D$89)*('R&amp;C-Painel de Controle'!$D$44+'R&amp;C-Painel de Controle'!$D$46))/1000000),AK90+((('R&amp;C-Painel de Controle'!$D$88)*('R&amp;C-Painel de Controle'!$D$44+'R&amp;C-Painel de Controle'!$D$46))/1000000))</f>
        <v>19.802201775571092</v>
      </c>
      <c r="AL117" s="306">
        <f>IF('R-Definição'!$E$121="Existente",AL90+((('R&amp;C-Painel de Controle'!$D$88+'R&amp;C-Painel de Controle'!$D$89)*('R&amp;C-Painel de Controle'!$D$44+'R&amp;C-Painel de Controle'!$D$46))/1000000),AL90+((('R&amp;C-Painel de Controle'!$D$88)*('R&amp;C-Painel de Controle'!$D$44+'R&amp;C-Painel de Controle'!$D$46))/1000000))</f>
        <v>19.802201775571092</v>
      </c>
      <c r="AM117" s="306">
        <f>IF('R-Definição'!$E$121="Existente",AM90+((('R&amp;C-Painel de Controle'!$D$88+'R&amp;C-Painel de Controle'!$D$89)*('R&amp;C-Painel de Controle'!$D$44+'R&amp;C-Painel de Controle'!$D$46))/1000000),AM90+((('R&amp;C-Painel de Controle'!$D$88)*('R&amp;C-Painel de Controle'!$D$44+'R&amp;C-Painel de Controle'!$D$46))/1000000))</f>
        <v>19.802201775571092</v>
      </c>
      <c r="AN117" s="306">
        <f>IF('R-Definição'!$E$121="Existente",AN90+((('R&amp;C-Painel de Controle'!$D$88+'R&amp;C-Painel de Controle'!$D$89)*('R&amp;C-Painel de Controle'!$D$44+'R&amp;C-Painel de Controle'!$D$46))/1000000),AN90+((('R&amp;C-Painel de Controle'!$D$88)*('R&amp;C-Painel de Controle'!$D$44+'R&amp;C-Painel de Controle'!$D$46))/1000000))</f>
        <v>19.802201775571092</v>
      </c>
      <c r="AO117" s="306">
        <f>IF('R-Definição'!$E$121="Existente",AO90+((('R&amp;C-Painel de Controle'!$D$88+'R&amp;C-Painel de Controle'!$D$89)*('R&amp;C-Painel de Controle'!$D$44+'R&amp;C-Painel de Controle'!$D$46))/1000000),AO90+((('R&amp;C-Painel de Controle'!$D$88)*('R&amp;C-Painel de Controle'!$D$44+'R&amp;C-Painel de Controle'!$D$46))/1000000))</f>
        <v>19.802201775571092</v>
      </c>
      <c r="AP117" s="306">
        <f>IF('R-Definição'!$E$121="Existente",AP90+((('R&amp;C-Painel de Controle'!$D$88+'R&amp;C-Painel de Controle'!$D$89)*('R&amp;C-Painel de Controle'!$D$44+'R&amp;C-Painel de Controle'!$D$46))/1000000),AP90+((('R&amp;C-Painel de Controle'!$D$88)*('R&amp;C-Painel de Controle'!$D$44+'R&amp;C-Painel de Controle'!$D$46))/1000000))</f>
        <v>19.802201775571092</v>
      </c>
      <c r="AQ117" s="306">
        <f>IF('R-Definição'!$E$121="Existente",AQ90+((('R&amp;C-Painel de Controle'!$D$88+'R&amp;C-Painel de Controle'!$D$89)*('R&amp;C-Painel de Controle'!$D$44+'R&amp;C-Painel de Controle'!$D$46))/1000000),AQ90+((('R&amp;C-Painel de Controle'!$D$88)*('R&amp;C-Painel de Controle'!$D$44+'R&amp;C-Painel de Controle'!$D$46))/1000000))</f>
        <v>19.802201775571092</v>
      </c>
      <c r="AR117" s="306">
        <f>IF('R-Definição'!$E$121="Existente",AR90+((('R&amp;C-Painel de Controle'!$D$88+'R&amp;C-Painel de Controle'!$D$89)*('R&amp;C-Painel de Controle'!$D$44+'R&amp;C-Painel de Controle'!$D$46))/1000000),AR90+((('R&amp;C-Painel de Controle'!$D$88)*('R&amp;C-Painel de Controle'!$D$44+'R&amp;C-Painel de Controle'!$D$46))/1000000))</f>
        <v>19.802201775571092</v>
      </c>
      <c r="AS117" s="306">
        <f>IF('R-Definição'!$E$121="Existente",AS90+((('R&amp;C-Painel de Controle'!$D$88+'R&amp;C-Painel de Controle'!$D$89)*('R&amp;C-Painel de Controle'!$D$44+'R&amp;C-Painel de Controle'!$D$46))/1000000),AS90+((('R&amp;C-Painel de Controle'!$D$88)*('R&amp;C-Painel de Controle'!$D$44+'R&amp;C-Painel de Controle'!$D$46))/1000000))</f>
        <v>19.802201775571092</v>
      </c>
      <c r="AT117" s="306">
        <f>IF('R-Definição'!$E$121="Existente",AT90+((('R&amp;C-Painel de Controle'!$D$88+'R&amp;C-Painel de Controle'!$D$89)*('R&amp;C-Painel de Controle'!$D$44+'R&amp;C-Painel de Controle'!$D$46))/1000000),AT90+((('R&amp;C-Painel de Controle'!$D$88)*('R&amp;C-Painel de Controle'!$D$44+'R&amp;C-Painel de Controle'!$D$46))/1000000))</f>
        <v>19.802201775571092</v>
      </c>
      <c r="AU117" s="306">
        <f>IF('R-Definição'!$E$121="Existente",AU90+((('R&amp;C-Painel de Controle'!$D$88+'R&amp;C-Painel de Controle'!$D$89)*('R&amp;C-Painel de Controle'!$D$44+'R&amp;C-Painel de Controle'!$D$46))/1000000),AU90+((('R&amp;C-Painel de Controle'!$D$88)*('R&amp;C-Painel de Controle'!$D$44+'R&amp;C-Painel de Controle'!$D$46))/1000000))</f>
        <v>19.802201775571092</v>
      </c>
      <c r="AV117" s="306">
        <f>IF('R-Definição'!$E$121="Existente",AV90+((('R&amp;C-Painel de Controle'!$D$88+'R&amp;C-Painel de Controle'!$D$89)*('R&amp;C-Painel de Controle'!$D$44+'R&amp;C-Painel de Controle'!$D$46))/1000000),AV90+((('R&amp;C-Painel de Controle'!$D$88)*('R&amp;C-Painel de Controle'!$D$44+'R&amp;C-Painel de Controle'!$D$46))/1000000))</f>
        <v>19.802201775571092</v>
      </c>
      <c r="AW117" s="306">
        <f>IF('R-Definição'!$E$121="Existente",AW90+((('R&amp;C-Painel de Controle'!$D$88+'R&amp;C-Painel de Controle'!$D$89)*('R&amp;C-Painel de Controle'!$D$44+'R&amp;C-Painel de Controle'!$D$46))/1000000),AW90+((('R&amp;C-Painel de Controle'!$D$88)*('R&amp;C-Painel de Controle'!$D$44+'R&amp;C-Painel de Controle'!$D$46))/1000000))</f>
        <v>19.802201775571092</v>
      </c>
      <c r="AX117" s="306">
        <f>IF('R-Definição'!$E$121="Existente",AX90+((('R&amp;C-Painel de Controle'!$D$88+'R&amp;C-Painel de Controle'!$D$89)*('R&amp;C-Painel de Controle'!$D$44+'R&amp;C-Painel de Controle'!$D$46))/1000000),AX90+((('R&amp;C-Painel de Controle'!$D$88)*('R&amp;C-Painel de Controle'!$D$44+'R&amp;C-Painel de Controle'!$D$46))/1000000))</f>
        <v>19.802201775571092</v>
      </c>
      <c r="AY117" s="306">
        <f>IF('R-Definição'!$E$121="Existente",AY90+((('R&amp;C-Painel de Controle'!$D$88+'R&amp;C-Painel de Controle'!$D$89)*('R&amp;C-Painel de Controle'!$D$44+'R&amp;C-Painel de Controle'!$D$46))/1000000),AY90+((('R&amp;C-Painel de Controle'!$D$88)*('R&amp;C-Painel de Controle'!$D$44+'R&amp;C-Painel de Controle'!$D$46))/1000000))</f>
        <v>19.802201775571092</v>
      </c>
      <c r="AZ117" s="306">
        <f>IF('R-Definição'!$E$121="Existente",AZ90+((('R&amp;C-Painel de Controle'!$D$88+'R&amp;C-Painel de Controle'!$D$89)*('R&amp;C-Painel de Controle'!$D$44+'R&amp;C-Painel de Controle'!$D$46))/1000000),AZ90+((('R&amp;C-Painel de Controle'!$D$88)*('R&amp;C-Painel de Controle'!$D$44+'R&amp;C-Painel de Controle'!$D$46))/1000000))</f>
        <v>19.802201775571092</v>
      </c>
      <c r="BA117" s="306">
        <f>IF('R-Definição'!$E$121="Existente",BA90+((('R&amp;C-Painel de Controle'!$D$88+'R&amp;C-Painel de Controle'!$D$89)*('R&amp;C-Painel de Controle'!$D$44+'R&amp;C-Painel de Controle'!$D$46))/1000000),BA90+((('R&amp;C-Painel de Controle'!$D$88)*('R&amp;C-Painel de Controle'!$D$44+'R&amp;C-Painel de Controle'!$D$46))/1000000))</f>
        <v>19.802201775571092</v>
      </c>
      <c r="BB117" s="306">
        <f>IF('R-Definição'!$E$121="Existente",BB90+((('R&amp;C-Painel de Controle'!$D$88+'R&amp;C-Painel de Controle'!$D$89)*('R&amp;C-Painel de Controle'!$D$44+'R&amp;C-Painel de Controle'!$D$46))/1000000),BB90+((('R&amp;C-Painel de Controle'!$D$88)*('R&amp;C-Painel de Controle'!$D$44+'R&amp;C-Painel de Controle'!$D$46))/1000000))</f>
        <v>19.802201775571092</v>
      </c>
      <c r="BC117" s="306">
        <f>IF('R-Definição'!$E$121="Existente",BC90+((('R&amp;C-Painel de Controle'!$D$88+'R&amp;C-Painel de Controle'!$D$89)*('R&amp;C-Painel de Controle'!$D$44+'R&amp;C-Painel de Controle'!$D$46))/1000000),BC90+((('R&amp;C-Painel de Controle'!$D$88)*('R&amp;C-Painel de Controle'!$D$44+'R&amp;C-Painel de Controle'!$D$46))/1000000))</f>
        <v>19.802201775571092</v>
      </c>
    </row>
    <row r="118" spans="1:58" s="206" customFormat="1" ht="18" customHeight="1" x14ac:dyDescent="0.3">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5" customHeight="1" x14ac:dyDescent="0.3">
      <c r="B119" s="910" t="s">
        <v>673</v>
      </c>
      <c r="C119" s="306">
        <f>(C117+'R&amp;C-Painel de Controle'!$D$28)*(1+$C$118)</f>
        <v>2.5739425000000002</v>
      </c>
      <c r="D119" s="306">
        <f>(D117+'R&amp;C-Painel de Controle'!$D$28)*(1+$C$118)</f>
        <v>2.5739425000000002</v>
      </c>
      <c r="E119" s="306">
        <f>(E117+'R&amp;C-Painel de Controle'!$D$28)*(1+$C$118)</f>
        <v>2.5739425000000002</v>
      </c>
      <c r="F119" s="306">
        <f>(F117+'R&amp;C-Painel de Controle'!$D$28)*(1+$C$118)</f>
        <v>20.802201775571092</v>
      </c>
      <c r="G119" s="306">
        <f>(G117+'R&amp;C-Painel de Controle'!$D$28)*(1+$C$118)</f>
        <v>20.802201775571092</v>
      </c>
      <c r="H119" s="306">
        <f>(H117+'R&amp;C-Painel de Controle'!$D$28)*(1+$C$118)</f>
        <v>20.802201775571092</v>
      </c>
      <c r="I119" s="306">
        <f>(I117+'R&amp;C-Painel de Controle'!$D$28)*(1+$C$118)</f>
        <v>20.802201775571092</v>
      </c>
      <c r="J119" s="306">
        <f>(J117+'R&amp;C-Painel de Controle'!$D$28)*(1+$C$118)</f>
        <v>20.802201775571092</v>
      </c>
      <c r="K119" s="306">
        <f>(K117+'R&amp;C-Painel de Controle'!$D$28)*(1+$C$118)</f>
        <v>20.802201775571092</v>
      </c>
      <c r="L119" s="306">
        <f>(L117+'R&amp;C-Painel de Controle'!$D$28)*(1+$C$118)</f>
        <v>20.802201775571092</v>
      </c>
      <c r="M119" s="306">
        <f>(M117+'R&amp;C-Painel de Controle'!$D$28)*(1+$C$118)</f>
        <v>20.802201775571092</v>
      </c>
      <c r="N119" s="306">
        <f>(N117+'R&amp;C-Painel de Controle'!$D$28)*(1+$C$118)</f>
        <v>20.802201775571092</v>
      </c>
      <c r="O119" s="306">
        <f>(O117+'R&amp;C-Painel de Controle'!$D$28)*(1+$C$118)</f>
        <v>20.802201775571092</v>
      </c>
      <c r="P119" s="306">
        <f>(P117+'R&amp;C-Painel de Controle'!$D$28)*(1+$C$118)</f>
        <v>20.802201775571092</v>
      </c>
      <c r="Q119" s="306">
        <f>(Q117+'R&amp;C-Painel de Controle'!$D$28)*(1+$C$118)</f>
        <v>20.802201775571092</v>
      </c>
      <c r="R119" s="306">
        <f>(R117+'R&amp;C-Painel de Controle'!$D$28)*(1+$C$118)</f>
        <v>20.802201775571092</v>
      </c>
      <c r="S119" s="306">
        <f>(S117+'R&amp;C-Painel de Controle'!$D$28)*(1+$C$118)</f>
        <v>20.802201775571092</v>
      </c>
      <c r="T119" s="306">
        <f>(T117+'R&amp;C-Painel de Controle'!$D$28)*(1+$C$118)</f>
        <v>20.802201775571092</v>
      </c>
      <c r="U119" s="306">
        <f>(U117+'R&amp;C-Painel de Controle'!$D$28)*(1+$C$118)</f>
        <v>20.802201775571092</v>
      </c>
      <c r="V119" s="306">
        <f>(V117+'R&amp;C-Painel de Controle'!$D$28)*(1+$C$118)</f>
        <v>20.802201775571092</v>
      </c>
      <c r="W119" s="306">
        <f>(W117+'R&amp;C-Painel de Controle'!$D$28)*(1+$C$118)</f>
        <v>20.802201775571092</v>
      </c>
      <c r="X119" s="306">
        <f>(X117+'R&amp;C-Painel de Controle'!$D$28)*(1+$C$118)</f>
        <v>20.802201775571092</v>
      </c>
      <c r="Y119" s="306">
        <f>(Y117+'R&amp;C-Painel de Controle'!$D$28)*(1+$C$118)</f>
        <v>20.802201775571092</v>
      </c>
      <c r="Z119" s="306">
        <f>(Z117+'R&amp;C-Painel de Controle'!$D$28)*(1+$C$118)</f>
        <v>20.802201775571092</v>
      </c>
      <c r="AA119" s="306">
        <f>(AA117+'R&amp;C-Painel de Controle'!$D$28)*(1+$C$118)</f>
        <v>20.802201775571092</v>
      </c>
      <c r="AB119" s="306">
        <f>(AB117+'R&amp;C-Painel de Controle'!$D$28)*(1+$C$118)</f>
        <v>20.802201775571092</v>
      </c>
      <c r="AC119" s="306">
        <f>(AC117+'R&amp;C-Painel de Controle'!$D$28)*(1+$C$118)</f>
        <v>20.802201775571092</v>
      </c>
      <c r="AD119" s="306">
        <f>(AD117+'R&amp;C-Painel de Controle'!$D$28)*(1+$C$118)</f>
        <v>20.802201775571092</v>
      </c>
      <c r="AE119" s="306">
        <f>(AE117+'R&amp;C-Painel de Controle'!$D$28)*(1+$C$118)</f>
        <v>20.802201775571092</v>
      </c>
      <c r="AF119" s="306">
        <f>(AF117+'R&amp;C-Painel de Controle'!$D$28)*(1+$C$118)</f>
        <v>20.802201775571092</v>
      </c>
      <c r="AG119" s="306">
        <f>(AG117+'R&amp;C-Painel de Controle'!$D$28)*(1+$C$118)</f>
        <v>20.802201775571092</v>
      </c>
      <c r="AH119" s="306">
        <f>(AH117+'R&amp;C-Painel de Controle'!$D$28)*(1+$C$118)</f>
        <v>20.802201775571092</v>
      </c>
      <c r="AI119" s="306">
        <f>(AI117+'R&amp;C-Painel de Controle'!$D$28)*(1+$C$118)</f>
        <v>20.802201775571092</v>
      </c>
      <c r="AJ119" s="306">
        <f>(AJ117+'R&amp;C-Painel de Controle'!$D$28)*(1+$C$118)</f>
        <v>20.802201775571092</v>
      </c>
      <c r="AK119" s="306">
        <f>(AK117+'R&amp;C-Painel de Controle'!$D$28)*(1+$C$118)</f>
        <v>20.802201775571092</v>
      </c>
      <c r="AL119" s="306">
        <f>(AL117+'R&amp;C-Painel de Controle'!$D$28)*(1+$C$118)</f>
        <v>20.802201775571092</v>
      </c>
      <c r="AM119" s="306">
        <f>(AM117+'R&amp;C-Painel de Controle'!$D$28)*(1+$C$118)</f>
        <v>20.802201775571092</v>
      </c>
      <c r="AN119" s="306">
        <f>(AN117+'R&amp;C-Painel de Controle'!$D$28)*(1+$C$118)</f>
        <v>20.802201775571092</v>
      </c>
      <c r="AO119" s="306">
        <f>(AO117+'R&amp;C-Painel de Controle'!$D$28)*(1+$C$118)</f>
        <v>20.802201775571092</v>
      </c>
      <c r="AP119" s="306">
        <f>(AP117+'R&amp;C-Painel de Controle'!$D$28)*(1+$C$118)</f>
        <v>20.802201775571092</v>
      </c>
      <c r="AQ119" s="306">
        <f>(AQ117+'R&amp;C-Painel de Controle'!$D$28)*(1+$C$118)</f>
        <v>20.802201775571092</v>
      </c>
      <c r="AR119" s="306">
        <f>(AR117+'R&amp;C-Painel de Controle'!$D$28)*(1+$C$118)</f>
        <v>20.802201775571092</v>
      </c>
      <c r="AS119" s="306">
        <f>(AS117+'R&amp;C-Painel de Controle'!$D$28)*(1+$C$118)</f>
        <v>20.802201775571092</v>
      </c>
      <c r="AT119" s="306">
        <f>(AT117+'R&amp;C-Painel de Controle'!$D$28)*(1+$C$118)</f>
        <v>20.802201775571092</v>
      </c>
      <c r="AU119" s="306">
        <f>(AU117+'R&amp;C-Painel de Controle'!$D$28)*(1+$C$118)</f>
        <v>20.802201775571092</v>
      </c>
      <c r="AV119" s="306">
        <f>(AV117+'R&amp;C-Painel de Controle'!$D$28)*(1+$C$118)</f>
        <v>20.802201775571092</v>
      </c>
      <c r="AW119" s="306">
        <f>(AW117+'R&amp;C-Painel de Controle'!$D$28)*(1+$C$118)</f>
        <v>20.802201775571092</v>
      </c>
      <c r="AX119" s="306">
        <f>(AX117+'R&amp;C-Painel de Controle'!$D$28)*(1+$C$118)</f>
        <v>20.802201775571092</v>
      </c>
      <c r="AY119" s="306">
        <f>(AY117+'R&amp;C-Painel de Controle'!$D$28)*(1+$C$118)</f>
        <v>20.802201775571092</v>
      </c>
      <c r="AZ119" s="306">
        <f>(AZ117+'R&amp;C-Painel de Controle'!$D$28)*(1+$C$118)</f>
        <v>20.802201775571092</v>
      </c>
      <c r="BA119" s="306">
        <f>(BA117+'R&amp;C-Painel de Controle'!$D$28)*(1+$C$118)</f>
        <v>20.802201775571092</v>
      </c>
      <c r="BB119" s="306">
        <f>(BB117+'R&amp;C-Painel de Controle'!$D$28)*(1+$C$118)</f>
        <v>20.802201775571092</v>
      </c>
      <c r="BC119" s="306">
        <f>(BC117+'R&amp;C-Painel de Controle'!$D$28)*(1+$C$118)</f>
        <v>20.802201775571092</v>
      </c>
    </row>
    <row r="120" spans="1:58" s="206" customFormat="1" ht="18" customHeight="1" x14ac:dyDescent="0.3">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5" customHeight="1" collapsed="1" x14ac:dyDescent="0.3">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3">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3">
      <c r="B123" s="906" t="str">
        <f>B92</f>
        <v>Triagem Manual — Seletivos</v>
      </c>
      <c r="C123" s="325" t="str">
        <f>C92</f>
        <v>Não</v>
      </c>
      <c r="D123" s="325">
        <f>D92</f>
        <v>0</v>
      </c>
      <c r="R123" s="299"/>
    </row>
    <row r="124" spans="1:58" s="206" customFormat="1" ht="18" hidden="1" customHeight="1" outlineLevel="1" x14ac:dyDescent="0.3">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3">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3">
      <c r="B126" s="906" t="str">
        <f>B95</f>
        <v>Triagem Mecanizada</v>
      </c>
      <c r="C126" s="325" t="str">
        <f>C95</f>
        <v>Sim</v>
      </c>
      <c r="D126" s="325">
        <f>D95</f>
        <v>78250</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3">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3">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3">
      <c r="B129" s="906" t="str">
        <f>B98</f>
        <v>Produção de CDR TM — Trat. Mec.</v>
      </c>
      <c r="C129" s="325" t="str">
        <f>C98</f>
        <v>Sim</v>
      </c>
      <c r="D129" s="325">
        <f>D98</f>
        <v>29578.5</v>
      </c>
      <c r="BC129" s="916"/>
      <c r="BD129" s="299"/>
      <c r="BE129" s="299"/>
      <c r="BF129" s="299"/>
    </row>
    <row r="130" spans="2:58" s="206" customFormat="1" ht="18" hidden="1" customHeight="1" outlineLevel="1" x14ac:dyDescent="0.3">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3">
      <c r="B131" s="285" t="s">
        <v>411</v>
      </c>
      <c r="C131" s="333">
        <v>0</v>
      </c>
      <c r="D131" s="334">
        <f>IF(D45&gt;0,'R&amp;C-Painel de Controle'!$O$59*(1-0.0925)*D35/1000000,0)</f>
        <v>0</v>
      </c>
      <c r="E131" s="334">
        <f>IF(E45&gt;0,'R&amp;C-Painel de Controle'!$O$59*(1-0.0925)*E35/1000000,0)</f>
        <v>0</v>
      </c>
      <c r="F131" s="334">
        <f>IF(F45&gt;0,'R&amp;C-Painel de Controle'!$O$59*(1-0.0925)*F35/1000000,0)</f>
        <v>1.3974670084698819</v>
      </c>
      <c r="G131" s="334">
        <f>IF(G45&gt;0,'R&amp;C-Painel de Controle'!$O$59*(1-0.0925)*G35/1000000,0)</f>
        <v>1.4040351034096903</v>
      </c>
      <c r="H131" s="334">
        <f>IF(H45&gt;0,'R&amp;C-Painel de Controle'!$O$59*(1-0.0925)*H35/1000000,0)</f>
        <v>1.4106340683957157</v>
      </c>
      <c r="I131" s="334">
        <f>IF(I45&gt;0,'R&amp;C-Painel de Controle'!$O$59*(1-0.0925)*I35/1000000,0)</f>
        <v>1.4172640485171755</v>
      </c>
      <c r="J131" s="334">
        <f>IF(J45&gt;0,'R&amp;C-Painel de Controle'!$O$59*(1-0.0925)*J35/1000000,0)</f>
        <v>1.4239251895452063</v>
      </c>
      <c r="K131" s="334">
        <f>IF(K45&gt;0,'R&amp;C-Painel de Controle'!$O$59*(1-0.0925)*K35/1000000,0)</f>
        <v>1.4306176379360684</v>
      </c>
      <c r="L131" s="334">
        <f>IF(L45&gt;0,'R&amp;C-Painel de Controle'!$O$59*(1-0.0925)*L35/1000000,0)</f>
        <v>1.4373415408343679</v>
      </c>
      <c r="M131" s="334">
        <f>IF(M45&gt;0,'R&amp;C-Painel de Controle'!$O$59*(1-0.0925)*M35/1000000,0)</f>
        <v>1.4440970460762894</v>
      </c>
      <c r="N131" s="334">
        <f>IF(N45&gt;0,'R&amp;C-Painel de Controle'!$O$59*(1-0.0925)*N35/1000000,0)</f>
        <v>1.4508843021928477</v>
      </c>
      <c r="O131" s="334">
        <f>IF(O45&gt;0,'R&amp;C-Painel de Controle'!$O$59*(1-0.0925)*O35/1000000,0)</f>
        <v>1.4577034584131539</v>
      </c>
      <c r="P131" s="334">
        <f>IF(P45&gt;0,'R&amp;C-Painel de Controle'!$O$59*(1-0.0925)*P35/1000000,0)</f>
        <v>1.4645546646676955</v>
      </c>
      <c r="Q131" s="334">
        <f>IF(Q45&gt;0,'R&amp;C-Painel de Controle'!$O$59*(1-0.0925)*Q35/1000000,0)</f>
        <v>1.4714380715916335</v>
      </c>
      <c r="R131" s="334">
        <f>IF(R45&gt;0,'R&amp;C-Painel de Controle'!$O$59*(1-0.0925)*R35/1000000,0)</f>
        <v>1.4783538305281143</v>
      </c>
      <c r="S131" s="334">
        <f>IF(S45&gt;0,'R&amp;C-Painel de Controle'!$O$59*(1-0.0925)*S35/1000000,0)</f>
        <v>1.4853020935315961</v>
      </c>
      <c r="T131" s="334">
        <f>IF(T45&gt;0,'R&amp;C-Painel de Controle'!$O$59*(1-0.0925)*T35/1000000,0)</f>
        <v>1.4922830133711946</v>
      </c>
      <c r="U131" s="334">
        <f>IF(U45&gt;0,'R&amp;C-Painel de Controle'!$O$59*(1-0.0925)*U35/1000000,0)</f>
        <v>1.4992967435340392</v>
      </c>
      <c r="V131" s="334">
        <f>IF(V45&gt;0,'R&amp;C-Painel de Controle'!$O$59*(1-0.0925)*V35/1000000,0)</f>
        <v>1.5063434382286491</v>
      </c>
      <c r="W131" s="334">
        <f>IF(W45&gt;0,'R&amp;C-Painel de Controle'!$O$59*(1-0.0925)*W35/1000000,0)</f>
        <v>1.5134232523883238</v>
      </c>
      <c r="X131" s="334">
        <f>IF(X45&gt;0,'R&amp;C-Painel de Controle'!$O$59*(1-0.0925)*X35/1000000,0)</f>
        <v>1.5205363416745485</v>
      </c>
      <c r="Y131" s="334">
        <f>IF(Y45&gt;0,'R&amp;C-Painel de Controle'!$O$59*(1-0.0925)*Y35/1000000,0)</f>
        <v>1.5276828624804188</v>
      </c>
      <c r="Z131" s="334">
        <f>IF(Z45&gt;0,'R&amp;C-Painel de Controle'!$O$59*(1-0.0925)*Z35/1000000,0)</f>
        <v>1.5348629719340767</v>
      </c>
      <c r="AA131" s="334">
        <f>IF(AA45&gt;0,'R&amp;C-Painel de Controle'!$O$59*(1-0.0925)*AA35/1000000,0)</f>
        <v>1.5420768279021668</v>
      </c>
      <c r="AB131" s="334">
        <f>IF(AB45&gt;0,'R&amp;C-Painel de Controle'!$O$59*(1-0.0925)*AB35/1000000,0)</f>
        <v>1.5493245889933069</v>
      </c>
      <c r="AC131" s="334">
        <f>IF(AC45&gt;0,'R&amp;C-Painel de Controle'!$O$59*(1-0.0925)*AC35/1000000,0)</f>
        <v>1.5566064145615752</v>
      </c>
      <c r="AD131" s="334">
        <f>IF(AD45&gt;0,'R&amp;C-Painel de Controle'!$O$59*(1-0.0925)*AD35/1000000,0)</f>
        <v>1.5639224647100147</v>
      </c>
      <c r="AE131" s="334">
        <f>IF(AE45&gt;0,'R&amp;C-Painel de Controle'!$O$59*(1-0.0925)*AE35/1000000,0)</f>
        <v>1.5712729002941517</v>
      </c>
      <c r="AF131" s="334">
        <f>IF(AF45&gt;0,'R&amp;C-Painel de Controle'!$O$59*(1-0.0925)*AF35/1000000,0)</f>
        <v>1.5786578829255342</v>
      </c>
      <c r="AG131" s="334">
        <f>IF(AG45&gt;0,'R&amp;C-Painel de Controle'!$O$59*(1-0.0925)*AG35/1000000,0)</f>
        <v>1.586077574975284</v>
      </c>
      <c r="AH131" s="334">
        <f>IF(AH45&gt;0,'R&amp;C-Painel de Controle'!$O$59*(1-0.0925)*AH35/1000000,0)</f>
        <v>1.5935321395776676</v>
      </c>
      <c r="AI131" s="334">
        <f>IF(AI45&gt;0,'R&amp;C-Painel de Controle'!$O$59*(1-0.0925)*AI35/1000000,0)</f>
        <v>1.6010217406336826</v>
      </c>
      <c r="AJ131" s="334">
        <f>IF(AJ45&gt;0,'R&amp;C-Painel de Controle'!$O$59*(1-0.0925)*AJ35/1000000,0)</f>
        <v>1.6085465428146606</v>
      </c>
      <c r="AK131" s="334">
        <f>IF(AK45&gt;0,'R&amp;C-Painel de Controle'!$O$59*(1-0.0925)*AK35/1000000,0)</f>
        <v>1.6161067115658894</v>
      </c>
      <c r="AL131" s="334">
        <f>IF(AL45&gt;0,'R&amp;C-Painel de Controle'!$O$59*(1-0.0925)*AL35/1000000,0)</f>
        <v>1.6237024131102489</v>
      </c>
      <c r="AM131" s="334">
        <f>IF(AM45&gt;0,'R&amp;C-Painel de Controle'!$O$59*(1-0.0925)*AM35/1000000,0)</f>
        <v>1.6313338144518672</v>
      </c>
      <c r="AN131" s="334">
        <f>IF(AN45&gt;0,'R&amp;C-Painel de Controle'!$O$59*(1-0.0925)*AN35/1000000,0)</f>
        <v>1.6390010833797908</v>
      </c>
      <c r="AO131" s="334">
        <f>IF(AO45&gt;0,'R&amp;C-Painel de Controle'!$O$59*(1-0.0925)*AO35/1000000,0)</f>
        <v>1.6467043884716759</v>
      </c>
      <c r="AP131" s="334">
        <f>IF(AP45&gt;0,'R&amp;C-Painel de Controle'!$O$59*(1-0.0925)*AP35/1000000,0)</f>
        <v>1.6544438990974928</v>
      </c>
      <c r="AQ131" s="334">
        <f>IF(AQ45&gt;0,'R&amp;C-Painel de Controle'!$O$59*(1-0.0925)*AQ35/1000000,0)</f>
        <v>1.6622197854232506</v>
      </c>
      <c r="AR131" s="334">
        <f>IF(AR45&gt;0,'R&amp;C-Painel de Controle'!$O$59*(1-0.0925)*AR35/1000000,0)</f>
        <v>1.6700322184147398</v>
      </c>
      <c r="AS131" s="334">
        <f>IF(AS45&gt;0,'R&amp;C-Painel de Controle'!$O$59*(1-0.0925)*AS35/1000000,0)</f>
        <v>1.6778813698412889</v>
      </c>
      <c r="AT131" s="334">
        <f>IF(AT45&gt;0,'R&amp;C-Painel de Controle'!$O$59*(1-0.0925)*AT35/1000000,0)</f>
        <v>1.6857674122795427</v>
      </c>
      <c r="AU131" s="334">
        <f>IF(AU45&gt;0,'R&amp;C-Painel de Controle'!$O$59*(1-0.0925)*AU35/1000000,0)</f>
        <v>1.6936905191172567</v>
      </c>
      <c r="AV131" s="334">
        <f>IF(AV45&gt;0,'R&amp;C-Painel de Controle'!$O$59*(1-0.0925)*AV35/1000000,0)</f>
        <v>1.7016508645571073</v>
      </c>
      <c r="AW131" s="334">
        <f>IF(AW45&gt;0,'R&amp;C-Painel de Controle'!$O$59*(1-0.0925)*AW35/1000000,0)</f>
        <v>1.7096486236205257</v>
      </c>
      <c r="AX131" s="334">
        <f>IF(AX45&gt;0,'R&amp;C-Painel de Controle'!$O$59*(1-0.0925)*AX35/1000000,0)</f>
        <v>1.717683972151542</v>
      </c>
      <c r="AY131" s="334">
        <f>IF(AY45&gt;0,'R&amp;C-Painel de Controle'!$O$59*(1-0.0925)*AY35/1000000,0)</f>
        <v>1.7257570868206542</v>
      </c>
      <c r="AZ131" s="334">
        <f>IF(AZ45&gt;0,'R&amp;C-Painel de Controle'!$O$59*(1-0.0925)*AZ35/1000000,0)</f>
        <v>1.7338681451287112</v>
      </c>
      <c r="BA131" s="334">
        <f>IF(BA45&gt;0,'R&amp;C-Painel de Controle'!$O$59*(1-0.0925)*BA35/1000000,0)</f>
        <v>1.742017325410816</v>
      </c>
      <c r="BB131" s="334">
        <f>IF(BB45&gt;0,'R&amp;C-Painel de Controle'!$O$59*(1-0.0925)*BB35/1000000,0)</f>
        <v>1.7502048068402463</v>
      </c>
      <c r="BC131" s="334">
        <f>IF(BC45&gt;0,'R&amp;C-Painel de Controle'!$O$59*(1-0.0925)*BC35/1000000,0)</f>
        <v>1.7584307694323955</v>
      </c>
      <c r="BD131" s="305"/>
      <c r="BE131" s="305"/>
      <c r="BF131" s="305"/>
    </row>
    <row r="132" spans="2:58" s="206" customFormat="1" ht="18" hidden="1" customHeight="1" outlineLevel="1" x14ac:dyDescent="0.3">
      <c r="B132" s="906" t="str">
        <f>B101</f>
        <v>Prod. CDR TMB — Trat. Mec./Biológ.</v>
      </c>
      <c r="C132" s="325" t="str">
        <f>C101</f>
        <v>Não</v>
      </c>
      <c r="D132" s="325">
        <f>D101</f>
        <v>0</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3">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3">
      <c r="B134" s="285" t="s">
        <v>411</v>
      </c>
      <c r="C134" s="333">
        <v>0</v>
      </c>
      <c r="D134" s="334">
        <f>IF(D48&gt;0,'R&amp;C-Painel de Controle'!$O$62*(1-0.0925)*D35/1000000,0)</f>
        <v>0</v>
      </c>
      <c r="E134" s="334">
        <f>IF(E48&gt;0,'R&amp;C-Painel de Controle'!$O$62*(1-0.0925)*E35/1000000,0)</f>
        <v>0</v>
      </c>
      <c r="F134" s="334">
        <f>IF(F48&gt;0,'R&amp;C-Painel de Controle'!$O$62*(1-0.0925)*F35/1000000,0)</f>
        <v>0</v>
      </c>
      <c r="G134" s="334">
        <f>IF(G48&gt;0,'R&amp;C-Painel de Controle'!$O$62*(1-0.0925)*G35/1000000,0)</f>
        <v>0</v>
      </c>
      <c r="H134" s="334">
        <f>IF(H48&gt;0,'R&amp;C-Painel de Controle'!$O$62*(1-0.0925)*H35/1000000,0)</f>
        <v>0</v>
      </c>
      <c r="I134" s="334">
        <f>IF(I48&gt;0,'R&amp;C-Painel de Controle'!$O$62*(1-0.0925)*I35/1000000,0)</f>
        <v>0</v>
      </c>
      <c r="J134" s="334">
        <f>IF(J48&gt;0,'R&amp;C-Painel de Controle'!$O$62*(1-0.0925)*J35/1000000,0)</f>
        <v>0</v>
      </c>
      <c r="K134" s="334">
        <f>IF(K48&gt;0,'R&amp;C-Painel de Controle'!$O$62*(1-0.0925)*K35/1000000,0)</f>
        <v>0</v>
      </c>
      <c r="L134" s="334">
        <f>IF(L48&gt;0,'R&amp;C-Painel de Controle'!$O$62*(1-0.0925)*L35/1000000,0)</f>
        <v>0</v>
      </c>
      <c r="M134" s="334">
        <f>IF(M48&gt;0,'R&amp;C-Painel de Controle'!$O$62*(1-0.0925)*M35/1000000,0)</f>
        <v>0</v>
      </c>
      <c r="N134" s="334">
        <f>IF(N48&gt;0,'R&amp;C-Painel de Controle'!$O$62*(1-0.0925)*N35/1000000,0)</f>
        <v>0</v>
      </c>
      <c r="O134" s="334">
        <f>IF(O48&gt;0,'R&amp;C-Painel de Controle'!$O$62*(1-0.0925)*O35/1000000,0)</f>
        <v>0</v>
      </c>
      <c r="P134" s="334">
        <f>IF(P48&gt;0,'R&amp;C-Painel de Controle'!$O$62*(1-0.0925)*P35/1000000,0)</f>
        <v>0</v>
      </c>
      <c r="Q134" s="334">
        <f>IF(Q48&gt;0,'R&amp;C-Painel de Controle'!$O$62*(1-0.0925)*Q35/1000000,0)</f>
        <v>0</v>
      </c>
      <c r="R134" s="334">
        <f>IF(R48&gt;0,'R&amp;C-Painel de Controle'!$O$62*(1-0.0925)*R35/1000000,0)</f>
        <v>0</v>
      </c>
      <c r="S134" s="334">
        <f>IF(S48&gt;0,'R&amp;C-Painel de Controle'!$O$62*(1-0.0925)*S35/1000000,0)</f>
        <v>0</v>
      </c>
      <c r="T134" s="334">
        <f>IF(T48&gt;0,'R&amp;C-Painel de Controle'!$O$62*(1-0.0925)*T35/1000000,0)</f>
        <v>0</v>
      </c>
      <c r="U134" s="334">
        <f>IF(U48&gt;0,'R&amp;C-Painel de Controle'!$O$62*(1-0.0925)*U35/1000000,0)</f>
        <v>0</v>
      </c>
      <c r="V134" s="334">
        <f>IF(V48&gt;0,'R&amp;C-Painel de Controle'!$O$62*(1-0.0925)*V35/1000000,0)</f>
        <v>0</v>
      </c>
      <c r="W134" s="334">
        <f>IF(W48&gt;0,'R&amp;C-Painel de Controle'!$O$62*(1-0.0925)*W35/1000000,0)</f>
        <v>0</v>
      </c>
      <c r="X134" s="334">
        <f>IF(X48&gt;0,'R&amp;C-Painel de Controle'!$O$62*(1-0.0925)*X35/1000000,0)</f>
        <v>0</v>
      </c>
      <c r="Y134" s="334">
        <f>IF(Y48&gt;0,'R&amp;C-Painel de Controle'!$O$62*(1-0.0925)*Y35/1000000,0)</f>
        <v>0</v>
      </c>
      <c r="Z134" s="334">
        <f>IF(Z48&gt;0,'R&amp;C-Painel de Controle'!$O$62*(1-0.0925)*Z35/1000000,0)</f>
        <v>0</v>
      </c>
      <c r="AA134" s="334">
        <f>IF(AA48&gt;0,'R&amp;C-Painel de Controle'!$O$62*(1-0.0925)*AA35/1000000,0)</f>
        <v>0</v>
      </c>
      <c r="AB134" s="334">
        <f>IF(AB48&gt;0,'R&amp;C-Painel de Controle'!$O$62*(1-0.0925)*AB35/1000000,0)</f>
        <v>0</v>
      </c>
      <c r="AC134" s="334">
        <f>IF(AC48&gt;0,'R&amp;C-Painel de Controle'!$O$62*(1-0.0925)*AC35/1000000,0)</f>
        <v>0</v>
      </c>
      <c r="AD134" s="334">
        <f>IF(AD48&gt;0,'R&amp;C-Painel de Controle'!$O$62*(1-0.0925)*AD35/1000000,0)</f>
        <v>0</v>
      </c>
      <c r="AE134" s="334">
        <f>IF(AE48&gt;0,'R&amp;C-Painel de Controle'!$O$62*(1-0.0925)*AE35/1000000,0)</f>
        <v>0</v>
      </c>
      <c r="AF134" s="334">
        <f>IF(AF48&gt;0,'R&amp;C-Painel de Controle'!$O$62*(1-0.0925)*AF35/1000000,0)</f>
        <v>0</v>
      </c>
      <c r="AG134" s="334">
        <f>IF(AG48&gt;0,'R&amp;C-Painel de Controle'!$O$62*(1-0.0925)*AG35/1000000,0)</f>
        <v>0</v>
      </c>
      <c r="AH134" s="334">
        <f>IF(AH48&gt;0,'R&amp;C-Painel de Controle'!$O$62*(1-0.0925)*AH35/1000000,0)</f>
        <v>0</v>
      </c>
      <c r="AI134" s="334">
        <f>IF(AI48&gt;0,'R&amp;C-Painel de Controle'!$O$62*(1-0.0925)*AI35/1000000,0)</f>
        <v>0</v>
      </c>
      <c r="AJ134" s="334">
        <f>IF(AJ48&gt;0,'R&amp;C-Painel de Controle'!$O$62*(1-0.0925)*AJ35/1000000,0)</f>
        <v>0</v>
      </c>
      <c r="AK134" s="334">
        <f>IF(AK48&gt;0,'R&amp;C-Painel de Controle'!$O$62*(1-0.0925)*AK35/1000000,0)</f>
        <v>0</v>
      </c>
      <c r="AL134" s="334">
        <f>IF(AL48&gt;0,'R&amp;C-Painel de Controle'!$O$62*(1-0.0925)*AL35/1000000,0)</f>
        <v>0</v>
      </c>
      <c r="AM134" s="334">
        <f>IF(AM48&gt;0,'R&amp;C-Painel de Controle'!$O$62*(1-0.0925)*AM35/1000000,0)</f>
        <v>0</v>
      </c>
      <c r="AN134" s="334">
        <f>IF(AN48&gt;0,'R&amp;C-Painel de Controle'!$O$62*(1-0.0925)*AN35/1000000,0)</f>
        <v>0</v>
      </c>
      <c r="AO134" s="334">
        <f>IF(AO48&gt;0,'R&amp;C-Painel de Controle'!$O$62*(1-0.0925)*AO35/1000000,0)</f>
        <v>0</v>
      </c>
      <c r="AP134" s="334">
        <f>IF(AP48&gt;0,'R&amp;C-Painel de Controle'!$O$62*(1-0.0925)*AP35/1000000,0)</f>
        <v>0</v>
      </c>
      <c r="AQ134" s="334">
        <f>IF(AQ48&gt;0,'R&amp;C-Painel de Controle'!$O$62*(1-0.0925)*AQ35/1000000,0)</f>
        <v>0</v>
      </c>
      <c r="AR134" s="334">
        <f>IF(AR48&gt;0,'R&amp;C-Painel de Controle'!$O$62*(1-0.0925)*AR35/1000000,0)</f>
        <v>0</v>
      </c>
      <c r="AS134" s="334">
        <f>IF(AS48&gt;0,'R&amp;C-Painel de Controle'!$O$62*(1-0.0925)*AS35/1000000,0)</f>
        <v>0</v>
      </c>
      <c r="AT134" s="334">
        <f>IF(AT48&gt;0,'R&amp;C-Painel de Controle'!$O$62*(1-0.0925)*AT35/1000000,0)</f>
        <v>0</v>
      </c>
      <c r="AU134" s="334">
        <f>IF(AU48&gt;0,'R&amp;C-Painel de Controle'!$O$62*(1-0.0925)*AU35/1000000,0)</f>
        <v>0</v>
      </c>
      <c r="AV134" s="334">
        <f>IF(AV48&gt;0,'R&amp;C-Painel de Controle'!$O$62*(1-0.0925)*AV35/1000000,0)</f>
        <v>0</v>
      </c>
      <c r="AW134" s="334">
        <f>IF(AW48&gt;0,'R&amp;C-Painel de Controle'!$O$62*(1-0.0925)*AW35/1000000,0)</f>
        <v>0</v>
      </c>
      <c r="AX134" s="334">
        <f>IF(AX48&gt;0,'R&amp;C-Painel de Controle'!$O$62*(1-0.0925)*AX35/1000000,0)</f>
        <v>0</v>
      </c>
      <c r="AY134" s="334">
        <f>IF(AY48&gt;0,'R&amp;C-Painel de Controle'!$O$62*(1-0.0925)*AY35/1000000,0)</f>
        <v>0</v>
      </c>
      <c r="AZ134" s="334">
        <f>IF(AZ48&gt;0,'R&amp;C-Painel de Controle'!$O$62*(1-0.0925)*AZ35/1000000,0)</f>
        <v>0</v>
      </c>
      <c r="BA134" s="334">
        <f>IF(BA48&gt;0,'R&amp;C-Painel de Controle'!$O$62*(1-0.0925)*BA35/1000000,0)</f>
        <v>0</v>
      </c>
      <c r="BB134" s="334">
        <f>IF(BB48&gt;0,'R&amp;C-Painel de Controle'!$O$62*(1-0.0925)*BB35/1000000,0)</f>
        <v>0</v>
      </c>
      <c r="BC134" s="334">
        <f>IF(BC48&gt;0,'R&amp;C-Painel de Controle'!$O$62*(1-0.0925)*BC35/1000000,0)</f>
        <v>0</v>
      </c>
      <c r="BD134" s="305"/>
      <c r="BE134" s="305"/>
      <c r="BF134" s="305"/>
    </row>
    <row r="135" spans="2:58" s="206" customFormat="1" ht="18" hidden="1" customHeight="1" outlineLevel="1" x14ac:dyDescent="0.3">
      <c r="B135" s="906" t="str">
        <f>B104</f>
        <v>Biodigestão Anaeróbia</v>
      </c>
      <c r="C135" s="325" t="str">
        <f>C104</f>
        <v>Não'</v>
      </c>
      <c r="D135" s="325">
        <f>D104</f>
        <v>0</v>
      </c>
      <c r="BC135" s="916"/>
      <c r="BD135" s="299"/>
      <c r="BE135" s="299"/>
      <c r="BF135" s="299"/>
    </row>
    <row r="136" spans="2:58" s="206" customFormat="1" ht="18" hidden="1" customHeight="1" outlineLevel="1" x14ac:dyDescent="0.3">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3">
      <c r="B137" s="285" t="s">
        <v>411</v>
      </c>
      <c r="C137" s="333">
        <v>0</v>
      </c>
      <c r="D137" s="334">
        <f>IF(D51&gt;0,'R&amp;C-Painel de Controle'!$O$65*(1-0.0925-$C$10)*D35/1000000,0)</f>
        <v>0</v>
      </c>
      <c r="E137" s="334">
        <f>IF(E51&gt;0,'R&amp;C-Painel de Controle'!$O$65*(1-0.0925-$C$10)*E35/1000000,0)</f>
        <v>0</v>
      </c>
      <c r="F137" s="334">
        <f>IF(F51&gt;0,'R&amp;C-Painel de Controle'!$O$65*(1-0.0925-$C$10)*F35/1000000,0)</f>
        <v>0</v>
      </c>
      <c r="G137" s="334">
        <f>IF(G51&gt;0,'R&amp;C-Painel de Controle'!$O$65*(1-0.0925-$C$10)*G35/1000000,0)</f>
        <v>0</v>
      </c>
      <c r="H137" s="334">
        <f>IF(H51&gt;0,'R&amp;C-Painel de Controle'!$O$65*(1-0.0925-$C$10)*H35/1000000,0)</f>
        <v>0</v>
      </c>
      <c r="I137" s="334">
        <f>IF(I51&gt;0,'R&amp;C-Painel de Controle'!$O$65*(1-0.0925-$C$10)*I35/1000000,0)</f>
        <v>0</v>
      </c>
      <c r="J137" s="334">
        <f>IF(J51&gt;0,'R&amp;C-Painel de Controle'!$O$65*(1-0.0925-$C$10)*J35/1000000,0)</f>
        <v>0</v>
      </c>
      <c r="K137" s="334">
        <f>IF(K51&gt;0,'R&amp;C-Painel de Controle'!$O$65*(1-0.0925-$C$10)*K35/1000000,0)</f>
        <v>0</v>
      </c>
      <c r="L137" s="334">
        <f>IF(L51&gt;0,'R&amp;C-Painel de Controle'!$O$65*(1-0.0925-$C$10)*L35/1000000,0)</f>
        <v>0</v>
      </c>
      <c r="M137" s="334">
        <f>IF(M51&gt;0,'R&amp;C-Painel de Controle'!$O$65*(1-0.0925-$C$10)*M35/1000000,0)</f>
        <v>0</v>
      </c>
      <c r="N137" s="334">
        <f>IF(N51&gt;0,'R&amp;C-Painel de Controle'!$O$65*(1-0.0925-$C$10)*N35/1000000,0)</f>
        <v>0</v>
      </c>
      <c r="O137" s="334">
        <f>IF(O51&gt;0,'R&amp;C-Painel de Controle'!$O$65*(1-0.0925-$C$10)*O35/1000000,0)</f>
        <v>0</v>
      </c>
      <c r="P137" s="334">
        <f>IF(P51&gt;0,'R&amp;C-Painel de Controle'!$O$65*(1-0.0925-$C$10)*P35/1000000,0)</f>
        <v>0</v>
      </c>
      <c r="Q137" s="334">
        <f>IF(Q51&gt;0,'R&amp;C-Painel de Controle'!$O$65*(1-0.0925-$C$10)*Q35/1000000,0)</f>
        <v>0</v>
      </c>
      <c r="R137" s="334">
        <f>IF(R51&gt;0,'R&amp;C-Painel de Controle'!$O$65*(1-0.0925-$C$10)*R35/1000000,0)</f>
        <v>0</v>
      </c>
      <c r="S137" s="334">
        <f>IF(S51&gt;0,'R&amp;C-Painel de Controle'!$O$65*(1-0.0925-$C$10)*S35/1000000,0)</f>
        <v>0</v>
      </c>
      <c r="T137" s="334">
        <f>IF(T51&gt;0,'R&amp;C-Painel de Controle'!$O$65*(1-0.0925-$C$10)*T35/1000000,0)</f>
        <v>0</v>
      </c>
      <c r="U137" s="334">
        <f>IF(U51&gt;0,'R&amp;C-Painel de Controle'!$O$65*(1-0.0925-$C$10)*U35/1000000,0)</f>
        <v>0</v>
      </c>
      <c r="V137" s="334">
        <f>IF(V51&gt;0,'R&amp;C-Painel de Controle'!$O$65*(1-0.0925-$C$10)*V35/1000000,0)</f>
        <v>0</v>
      </c>
      <c r="W137" s="334">
        <f>IF(W51&gt;0,'R&amp;C-Painel de Controle'!$O$65*(1-0.0925-$C$10)*W35/1000000,0)</f>
        <v>0</v>
      </c>
      <c r="X137" s="334">
        <f>IF(X51&gt;0,'R&amp;C-Painel de Controle'!$O$65*(1-0.0925-$C$10)*X35/1000000,0)</f>
        <v>0</v>
      </c>
      <c r="Y137" s="334">
        <f>IF(Y51&gt;0,'R&amp;C-Painel de Controle'!$O$65*(1-0.0925-$C$10)*Y35/1000000,0)</f>
        <v>0</v>
      </c>
      <c r="Z137" s="334">
        <f>IF(Z51&gt;0,'R&amp;C-Painel de Controle'!$O$65*(1-0.0925-$C$10)*Z35/1000000,0)</f>
        <v>0</v>
      </c>
      <c r="AA137" s="334">
        <f>IF(AA51&gt;0,'R&amp;C-Painel de Controle'!$O$65*(1-0.0925-$C$10)*AA35/1000000,0)</f>
        <v>0</v>
      </c>
      <c r="AB137" s="334">
        <f>IF(AB51&gt;0,'R&amp;C-Painel de Controle'!$O$65*(1-0.0925-$C$10)*AB35/1000000,0)</f>
        <v>0</v>
      </c>
      <c r="AC137" s="334">
        <f>IF(AC51&gt;0,'R&amp;C-Painel de Controle'!$O$65*(1-0.0925-$C$10)*AC35/1000000,0)</f>
        <v>0</v>
      </c>
      <c r="AD137" s="334">
        <f>IF(AD51&gt;0,'R&amp;C-Painel de Controle'!$O$65*(1-0.0925-$C$10)*AD35/1000000,0)</f>
        <v>0</v>
      </c>
      <c r="AE137" s="334">
        <f>IF(AE51&gt;0,'R&amp;C-Painel de Controle'!$O$65*(1-0.0925-$C$10)*AE35/1000000,0)</f>
        <v>0</v>
      </c>
      <c r="AF137" s="334">
        <f>IF(AF51&gt;0,'R&amp;C-Painel de Controle'!$O$65*(1-0.0925-$C$10)*AF35/1000000,0)</f>
        <v>0</v>
      </c>
      <c r="AG137" s="334">
        <f>IF(AG51&gt;0,'R&amp;C-Painel de Controle'!$O$65*(1-0.0925-$C$10)*AG35/1000000,0)</f>
        <v>0</v>
      </c>
      <c r="AH137" s="334">
        <f>IF(AH51&gt;0,'R&amp;C-Painel de Controle'!$O$65*(1-0.0925-$C$10)*AH35/1000000,0)</f>
        <v>0</v>
      </c>
      <c r="AI137" s="334">
        <f>IF(AI51&gt;0,'R&amp;C-Painel de Controle'!$O$65*(1-0.0925-$C$10)*AI35/1000000,0)</f>
        <v>0</v>
      </c>
      <c r="AJ137" s="334">
        <f>IF(AJ51&gt;0,'R&amp;C-Painel de Controle'!$O$65*(1-0.0925-$C$10)*AJ35/1000000,0)</f>
        <v>0</v>
      </c>
      <c r="AK137" s="334">
        <f>IF(AK51&gt;0,'R&amp;C-Painel de Controle'!$O$65*(1-0.0925-$C$10)*AK35/1000000,0)</f>
        <v>0</v>
      </c>
      <c r="AL137" s="334">
        <f>IF(AL51&gt;0,'R&amp;C-Painel de Controle'!$O$65*(1-0.0925-$C$10)*AL35/1000000,0)</f>
        <v>0</v>
      </c>
      <c r="AM137" s="334">
        <f>IF(AM51&gt;0,'R&amp;C-Painel de Controle'!$O$65*(1-0.0925-$C$10)*AM35/1000000,0)</f>
        <v>0</v>
      </c>
      <c r="AN137" s="334">
        <f>IF(AN51&gt;0,'R&amp;C-Painel de Controle'!$O$65*(1-0.0925-$C$10)*AN35/1000000,0)</f>
        <v>0</v>
      </c>
      <c r="AO137" s="334">
        <f>IF(AO51&gt;0,'R&amp;C-Painel de Controle'!$O$65*(1-0.0925-$C$10)*AO35/1000000,0)</f>
        <v>0</v>
      </c>
      <c r="AP137" s="334">
        <f>IF(AP51&gt;0,'R&amp;C-Painel de Controle'!$O$65*(1-0.0925-$C$10)*AP35/1000000,0)</f>
        <v>0</v>
      </c>
      <c r="AQ137" s="334">
        <f>IF(AQ51&gt;0,'R&amp;C-Painel de Controle'!$O$65*(1-0.0925-$C$10)*AQ35/1000000,0)</f>
        <v>0</v>
      </c>
      <c r="AR137" s="334">
        <f>IF(AR51&gt;0,'R&amp;C-Painel de Controle'!$O$65*(1-0.0925-$C$10)*AR35/1000000,0)</f>
        <v>0</v>
      </c>
      <c r="AS137" s="334">
        <f>IF(AS51&gt;0,'R&amp;C-Painel de Controle'!$O$65*(1-0.0925-$C$10)*AS35/1000000,0)</f>
        <v>0</v>
      </c>
      <c r="AT137" s="334">
        <f>IF(AT51&gt;0,'R&amp;C-Painel de Controle'!$O$65*(1-0.0925-$C$10)*AT35/1000000,0)</f>
        <v>0</v>
      </c>
      <c r="AU137" s="334">
        <f>IF(AU51&gt;0,'R&amp;C-Painel de Controle'!$O$65*(1-0.0925-$C$10)*AU35/1000000,0)</f>
        <v>0</v>
      </c>
      <c r="AV137" s="334">
        <f>IF(AV51&gt;0,'R&amp;C-Painel de Controle'!$O$65*(1-0.0925-$C$10)*AV35/1000000,0)</f>
        <v>0</v>
      </c>
      <c r="AW137" s="334">
        <f>IF(AW51&gt;0,'R&amp;C-Painel de Controle'!$O$65*(1-0.0925-$C$10)*AW35/1000000,0)</f>
        <v>0</v>
      </c>
      <c r="AX137" s="334">
        <f>IF(AX51&gt;0,'R&amp;C-Painel de Controle'!$O$65*(1-0.0925-$C$10)*AX35/1000000,0)</f>
        <v>0</v>
      </c>
      <c r="AY137" s="334">
        <f>IF(AY51&gt;0,'R&amp;C-Painel de Controle'!$O$65*(1-0.0925-$C$10)*AY35/1000000,0)</f>
        <v>0</v>
      </c>
      <c r="AZ137" s="334">
        <f>IF(AZ51&gt;0,'R&amp;C-Painel de Controle'!$O$65*(1-0.0925-$C$10)*AZ35/1000000,0)</f>
        <v>0</v>
      </c>
      <c r="BA137" s="334">
        <f>IF(BA51&gt;0,'R&amp;C-Painel de Controle'!$O$65*(1-0.0925-$C$10)*BA35/1000000,0)</f>
        <v>0</v>
      </c>
      <c r="BB137" s="334">
        <f>IF(BB51&gt;0,'R&amp;C-Painel de Controle'!$O$65*(1-0.0925-$C$10)*BB35/1000000,0)</f>
        <v>0</v>
      </c>
      <c r="BC137" s="334">
        <f>IF(BC51&gt;0,'R&amp;C-Painel de Controle'!$O$65*(1-0.0925-$C$10)*BC35/1000000,0)</f>
        <v>0</v>
      </c>
      <c r="BD137" s="305"/>
      <c r="BE137" s="305"/>
      <c r="BF137" s="305"/>
    </row>
    <row r="138" spans="2:58" s="206" customFormat="1" ht="18" hidden="1" customHeight="1" outlineLevel="1" x14ac:dyDescent="0.3">
      <c r="B138" s="906" t="str">
        <f>B107</f>
        <v>Compostagem</v>
      </c>
      <c r="C138" s="325" t="str">
        <f>C107</f>
        <v>Sim</v>
      </c>
      <c r="D138" s="325">
        <f>D107</f>
        <v>34187.424999999996</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3">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3">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3">
      <c r="B141" s="906" t="str">
        <f>B110</f>
        <v>Incineração</v>
      </c>
      <c r="C141" s="325" t="str">
        <f>C110</f>
        <v>Não</v>
      </c>
      <c r="D141" s="325">
        <f>D110</f>
        <v>0</v>
      </c>
      <c r="BC141" s="916"/>
      <c r="BD141" s="299"/>
      <c r="BE141" s="299"/>
      <c r="BF141" s="299"/>
    </row>
    <row r="142" spans="2:58" s="206" customFormat="1" ht="18" hidden="1" customHeight="1" outlineLevel="1" x14ac:dyDescent="0.3">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3">
      <c r="B143" s="285" t="s">
        <v>411</v>
      </c>
      <c r="C143" s="333">
        <v>0</v>
      </c>
      <c r="D143" s="334">
        <f>IF(D57&gt;0,'R&amp;C-Painel de Controle'!$O$71*(1-0.0925)*D35/1000000,0)</f>
        <v>0</v>
      </c>
      <c r="E143" s="334">
        <f>IF(E57&gt;0,'R&amp;C-Painel de Controle'!$O$71*(1-0.0925)*E35/1000000,0)</f>
        <v>0</v>
      </c>
      <c r="F143" s="334">
        <f>IF(F57&gt;0,'R&amp;C-Painel de Controle'!$O$71*(1-0.0925)*F35/1000000,0)</f>
        <v>0</v>
      </c>
      <c r="G143" s="334">
        <f>IF(G57&gt;0,'R&amp;C-Painel de Controle'!$O$71*(1-0.0925)*G35/1000000,0)</f>
        <v>0</v>
      </c>
      <c r="H143" s="334">
        <f>IF(H57&gt;0,'R&amp;C-Painel de Controle'!$O$71*(1-0.0925)*H35/1000000,0)</f>
        <v>0</v>
      </c>
      <c r="I143" s="334">
        <f>IF(I57&gt;0,'R&amp;C-Painel de Controle'!$O$71*(1-0.0925)*I35/1000000,0)</f>
        <v>0</v>
      </c>
      <c r="J143" s="334">
        <f>IF(J57&gt;0,'R&amp;C-Painel de Controle'!$O$71*(1-0.0925)*J35/1000000,0)</f>
        <v>0</v>
      </c>
      <c r="K143" s="334">
        <f>IF(K57&gt;0,'R&amp;C-Painel de Controle'!$O$71*(1-0.0925)*K35/1000000,0)</f>
        <v>0</v>
      </c>
      <c r="L143" s="334">
        <f>IF(L57&gt;0,'R&amp;C-Painel de Controle'!$O$71*(1-0.0925)*L35/1000000,0)</f>
        <v>0</v>
      </c>
      <c r="M143" s="334">
        <f>IF(M57&gt;0,'R&amp;C-Painel de Controle'!$O$71*(1-0.0925)*M35/1000000,0)</f>
        <v>0</v>
      </c>
      <c r="N143" s="334">
        <f>IF(N57&gt;0,'R&amp;C-Painel de Controle'!$O$71*(1-0.0925)*N35/1000000,0)</f>
        <v>0</v>
      </c>
      <c r="O143" s="334">
        <f>IF(O57&gt;0,'R&amp;C-Painel de Controle'!$O$71*(1-0.0925)*O35/1000000,0)</f>
        <v>0</v>
      </c>
      <c r="P143" s="334">
        <f>IF(P57&gt;0,'R&amp;C-Painel de Controle'!$O$71*(1-0.0925)*P35/1000000,0)</f>
        <v>0</v>
      </c>
      <c r="Q143" s="334">
        <f>IF(Q57&gt;0,'R&amp;C-Painel de Controle'!$O$71*(1-0.0925)*Q35/1000000,0)</f>
        <v>0</v>
      </c>
      <c r="R143" s="334">
        <f>IF(R57&gt;0,'R&amp;C-Painel de Controle'!$O$71*(1-0.0925)*R35/1000000,0)</f>
        <v>0</v>
      </c>
      <c r="S143" s="334">
        <f>IF(S57&gt;0,'R&amp;C-Painel de Controle'!$O$71*(1-0.0925)*S35/1000000,0)</f>
        <v>0</v>
      </c>
      <c r="T143" s="334">
        <f>IF(T57&gt;0,'R&amp;C-Painel de Controle'!$O$71*(1-0.0925)*T35/1000000,0)</f>
        <v>0</v>
      </c>
      <c r="U143" s="334">
        <f>IF(U57&gt;0,'R&amp;C-Painel de Controle'!$O$71*(1-0.0925)*U35/1000000,0)</f>
        <v>0</v>
      </c>
      <c r="V143" s="334">
        <f>IF(V57&gt;0,'R&amp;C-Painel de Controle'!$O$71*(1-0.0925)*V35/1000000,0)</f>
        <v>0</v>
      </c>
      <c r="W143" s="334">
        <f>IF(W57&gt;0,'R&amp;C-Painel de Controle'!$O$71*(1-0.0925)*W35/1000000,0)</f>
        <v>0</v>
      </c>
      <c r="X143" s="334">
        <f>IF(X57&gt;0,'R&amp;C-Painel de Controle'!$O$71*(1-0.0925)*X35/1000000,0)</f>
        <v>0</v>
      </c>
      <c r="Y143" s="334">
        <f>IF(Y57&gt;0,'R&amp;C-Painel de Controle'!$O$71*(1-0.0925)*Y35/1000000,0)</f>
        <v>0</v>
      </c>
      <c r="Z143" s="334">
        <f>IF(Z57&gt;0,'R&amp;C-Painel de Controle'!$O$71*(1-0.0925)*Z35/1000000,0)</f>
        <v>0</v>
      </c>
      <c r="AA143" s="334">
        <f>IF(AA57&gt;0,'R&amp;C-Painel de Controle'!$O$71*(1-0.0925)*AA35/1000000,0)</f>
        <v>0</v>
      </c>
      <c r="AB143" s="334">
        <f>IF(AB57&gt;0,'R&amp;C-Painel de Controle'!$O$71*(1-0.0925)*AB35/1000000,0)</f>
        <v>0</v>
      </c>
      <c r="AC143" s="334">
        <f>IF(AC57&gt;0,'R&amp;C-Painel de Controle'!$O$71*(1-0.0925)*AC35/1000000,0)</f>
        <v>0</v>
      </c>
      <c r="AD143" s="334">
        <f>IF(AD57&gt;0,'R&amp;C-Painel de Controle'!$O$71*(1-0.0925)*AD35/1000000,0)</f>
        <v>0</v>
      </c>
      <c r="AE143" s="334">
        <f>IF(AE57&gt;0,'R&amp;C-Painel de Controle'!$O$71*(1-0.0925)*AE35/1000000,0)</f>
        <v>0</v>
      </c>
      <c r="AF143" s="334">
        <f>IF(AF57&gt;0,'R&amp;C-Painel de Controle'!$O$71*(1-0.0925)*AF35/1000000,0)</f>
        <v>0</v>
      </c>
      <c r="AG143" s="334">
        <f>IF(AG57&gt;0,'R&amp;C-Painel de Controle'!$O$71*(1-0.0925)*AG35/1000000,0)</f>
        <v>0</v>
      </c>
      <c r="AH143" s="334">
        <f>IF(AH57&gt;0,'R&amp;C-Painel de Controle'!$O$71*(1-0.0925)*AH35/1000000,0)</f>
        <v>0</v>
      </c>
      <c r="AI143" s="334">
        <f>IF(AI57&gt;0,'R&amp;C-Painel de Controle'!$O$71*(1-0.0925)*AI35/1000000,0)</f>
        <v>0</v>
      </c>
      <c r="AJ143" s="334">
        <f>IF(AJ57&gt;0,'R&amp;C-Painel de Controle'!$O$71*(1-0.0925)*AJ35/1000000,0)</f>
        <v>0</v>
      </c>
      <c r="AK143" s="334">
        <f>IF(AK57&gt;0,'R&amp;C-Painel de Controle'!$O$71*(1-0.0925)*AK35/1000000,0)</f>
        <v>0</v>
      </c>
      <c r="AL143" s="334">
        <f>IF(AL57&gt;0,'R&amp;C-Painel de Controle'!$O$71*(1-0.0925)*AL35/1000000,0)</f>
        <v>0</v>
      </c>
      <c r="AM143" s="334">
        <f>IF(AM57&gt;0,'R&amp;C-Painel de Controle'!$O$71*(1-0.0925)*AM35/1000000,0)</f>
        <v>0</v>
      </c>
      <c r="AN143" s="334">
        <f>IF(AN57&gt;0,'R&amp;C-Painel de Controle'!$O$71*(1-0.0925)*AN35/1000000,0)</f>
        <v>0</v>
      </c>
      <c r="AO143" s="334">
        <f>IF(AO57&gt;0,'R&amp;C-Painel de Controle'!$O$71*(1-0.0925)*AO35/1000000,0)</f>
        <v>0</v>
      </c>
      <c r="AP143" s="334">
        <f>IF(AP57&gt;0,'R&amp;C-Painel de Controle'!$O$71*(1-0.0925)*AP35/1000000,0)</f>
        <v>0</v>
      </c>
      <c r="AQ143" s="334">
        <f>IF(AQ57&gt;0,'R&amp;C-Painel de Controle'!$O$71*(1-0.0925)*AQ35/1000000,0)</f>
        <v>0</v>
      </c>
      <c r="AR143" s="334">
        <f>IF(AR57&gt;0,'R&amp;C-Painel de Controle'!$O$71*(1-0.0925)*AR35/1000000,0)</f>
        <v>0</v>
      </c>
      <c r="AS143" s="334">
        <f>IF(AS57&gt;0,'R&amp;C-Painel de Controle'!$O$71*(1-0.0925)*AS35/1000000,0)</f>
        <v>0</v>
      </c>
      <c r="AT143" s="334">
        <f>IF(AT57&gt;0,'R&amp;C-Painel de Controle'!$O$71*(1-0.0925)*AT35/1000000,0)</f>
        <v>0</v>
      </c>
      <c r="AU143" s="334">
        <f>IF(AU57&gt;0,'R&amp;C-Painel de Controle'!$O$71*(1-0.0925)*AU35/1000000,0)</f>
        <v>0</v>
      </c>
      <c r="AV143" s="334">
        <f>IF(AV57&gt;0,'R&amp;C-Painel de Controle'!$O$71*(1-0.0925)*AV35/1000000,0)</f>
        <v>0</v>
      </c>
      <c r="AW143" s="334">
        <f>IF(AW57&gt;0,'R&amp;C-Painel de Controle'!$O$71*(1-0.0925)*AW35/1000000,0)</f>
        <v>0</v>
      </c>
      <c r="AX143" s="334">
        <f>IF(AX57&gt;0,'R&amp;C-Painel de Controle'!$O$71*(1-0.0925)*AX35/1000000,0)</f>
        <v>0</v>
      </c>
      <c r="AY143" s="334">
        <f>IF(AY57&gt;0,'R&amp;C-Painel de Controle'!$O$71*(1-0.0925)*AY35/1000000,0)</f>
        <v>0</v>
      </c>
      <c r="AZ143" s="334">
        <f>IF(AZ57&gt;0,'R&amp;C-Painel de Controle'!$O$71*(1-0.0925)*AZ35/1000000,0)</f>
        <v>0</v>
      </c>
      <c r="BA143" s="334">
        <f>IF(BA57&gt;0,'R&amp;C-Painel de Controle'!$O$71*(1-0.0925)*BA35/1000000,0)</f>
        <v>0</v>
      </c>
      <c r="BB143" s="334">
        <f>IF(BB57&gt;0,'R&amp;C-Painel de Controle'!$O$71*(1-0.0925)*BB35/1000000,0)</f>
        <v>0</v>
      </c>
      <c r="BC143" s="334">
        <f>IF(BC57&gt;0,'R&amp;C-Painel de Controle'!$O$71*(1-0.0925)*BC35/1000000,0)</f>
        <v>0</v>
      </c>
      <c r="BD143" s="305"/>
      <c r="BE143" s="305"/>
      <c r="BF143" s="305"/>
    </row>
    <row r="144" spans="2:58" s="206" customFormat="1" ht="18" hidden="1" customHeight="1" outlineLevel="1" x14ac:dyDescent="0.3">
      <c r="B144" s="906" t="str">
        <f>B113</f>
        <v>Aterro Sanitário</v>
      </c>
      <c r="C144" s="325" t="str">
        <f>C113</f>
        <v>Sim</v>
      </c>
      <c r="D144" s="325">
        <f>D113</f>
        <v>50359.743750000001</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3">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3">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3">
      <c r="B147" s="303"/>
      <c r="C147" s="306"/>
      <c r="D147" s="306"/>
      <c r="E147" s="306"/>
      <c r="F147" s="306"/>
      <c r="G147" s="306"/>
      <c r="H147" s="306"/>
      <c r="I147" s="306"/>
      <c r="J147" s="306"/>
      <c r="K147" s="306"/>
      <c r="L147" s="306"/>
      <c r="M147" s="306"/>
      <c r="N147" s="306"/>
      <c r="O147" s="306"/>
      <c r="P147" s="306"/>
      <c r="Q147" s="306"/>
      <c r="R147" s="299"/>
    </row>
    <row r="148" spans="2:58" s="206" customFormat="1" ht="25.2" customHeight="1" x14ac:dyDescent="0.3">
      <c r="B148" s="915" t="s">
        <v>412</v>
      </c>
      <c r="C148" s="306">
        <f t="shared" ref="C148:AH148" si="51">C35*$H$26*(1-0.0925-$C$10)/1000000+C149</f>
        <v>17.721127895787856</v>
      </c>
      <c r="D148" s="306">
        <f t="shared" si="51"/>
        <v>17.804417196898058</v>
      </c>
      <c r="E148" s="306">
        <f t="shared" si="51"/>
        <v>17.888097957723478</v>
      </c>
      <c r="F148" s="306">
        <f t="shared" si="51"/>
        <v>17.97217201812478</v>
      </c>
      <c r="G148" s="306">
        <f t="shared" si="51"/>
        <v>18.056641226609962</v>
      </c>
      <c r="H148" s="306">
        <f t="shared" si="51"/>
        <v>18.14150744037503</v>
      </c>
      <c r="I148" s="306">
        <f t="shared" si="51"/>
        <v>18.226772525344792</v>
      </c>
      <c r="J148" s="306">
        <f t="shared" si="51"/>
        <v>18.31243835621391</v>
      </c>
      <c r="K148" s="306">
        <f t="shared" si="51"/>
        <v>18.398506816488116</v>
      </c>
      <c r="L148" s="306">
        <f t="shared" si="51"/>
        <v>18.484979798525607</v>
      </c>
      <c r="M148" s="306">
        <f t="shared" si="51"/>
        <v>18.571859203578676</v>
      </c>
      <c r="N148" s="306">
        <f t="shared" si="51"/>
        <v>18.659146941835491</v>
      </c>
      <c r="O148" s="306">
        <f t="shared" si="51"/>
        <v>18.746844932462118</v>
      </c>
      <c r="P148" s="306">
        <f t="shared" si="51"/>
        <v>18.834955103644688</v>
      </c>
      <c r="Q148" s="306">
        <f t="shared" si="51"/>
        <v>18.923479392631819</v>
      </c>
      <c r="R148" s="306">
        <f t="shared" si="51"/>
        <v>19.012419745777187</v>
      </c>
      <c r="S148" s="306">
        <f t="shared" si="51"/>
        <v>19.101778118582338</v>
      </c>
      <c r="T148" s="306">
        <f t="shared" si="51"/>
        <v>19.191556475739674</v>
      </c>
      <c r="U148" s="306">
        <f t="shared" si="51"/>
        <v>19.281756791175649</v>
      </c>
      <c r="V148" s="306">
        <f t="shared" si="51"/>
        <v>19.372381048094169</v>
      </c>
      <c r="W148" s="306">
        <f t="shared" si="51"/>
        <v>19.46343123902021</v>
      </c>
      <c r="X148" s="306">
        <f t="shared" si="51"/>
        <v>19.554909365843603</v>
      </c>
      <c r="Y148" s="306">
        <f t="shared" si="51"/>
        <v>19.646817439863071</v>
      </c>
      <c r="Z148" s="306">
        <f t="shared" si="51"/>
        <v>19.739157481830425</v>
      </c>
      <c r="AA148" s="306">
        <f t="shared" si="51"/>
        <v>19.831931521995024</v>
      </c>
      <c r="AB148" s="306">
        <f t="shared" si="51"/>
        <v>19.925141600148404</v>
      </c>
      <c r="AC148" s="306">
        <f t="shared" si="51"/>
        <v>20.018789765669098</v>
      </c>
      <c r="AD148" s="306">
        <f t="shared" si="51"/>
        <v>20.112878077567743</v>
      </c>
      <c r="AE148" s="306">
        <f t="shared" si="51"/>
        <v>20.207408604532311</v>
      </c>
      <c r="AF148" s="306">
        <f t="shared" si="51"/>
        <v>20.302383424973609</v>
      </c>
      <c r="AG148" s="306">
        <f t="shared" si="51"/>
        <v>20.39780462707099</v>
      </c>
      <c r="AH148" s="306">
        <f t="shared" si="51"/>
        <v>20.493674308818214</v>
      </c>
      <c r="AI148" s="306">
        <f t="shared" ref="AI148:BC148" si="52">AI35*$H$26*(1-0.0925-$C$10)/1000000+AI149</f>
        <v>20.58999457806966</v>
      </c>
      <c r="AJ148" s="306">
        <f t="shared" si="52"/>
        <v>20.686767552586588</v>
      </c>
      <c r="AK148" s="306">
        <f t="shared" si="52"/>
        <v>20.783995360083743</v>
      </c>
      <c r="AL148" s="306">
        <f t="shared" si="52"/>
        <v>20.881680138276131</v>
      </c>
      <c r="AM148" s="306">
        <f t="shared" si="52"/>
        <v>20.979824034926029</v>
      </c>
      <c r="AN148" s="306">
        <f t="shared" si="52"/>
        <v>21.078429207890181</v>
      </c>
      <c r="AO148" s="306">
        <f t="shared" si="52"/>
        <v>21.177497825167265</v>
      </c>
      <c r="AP148" s="306">
        <f t="shared" si="52"/>
        <v>21.277032064945555</v>
      </c>
      <c r="AQ148" s="306">
        <f t="shared" si="52"/>
        <v>21.37703411565079</v>
      </c>
      <c r="AR148" s="306">
        <f t="shared" si="52"/>
        <v>21.477506175994346</v>
      </c>
      <c r="AS148" s="306">
        <f t="shared" si="52"/>
        <v>21.578450455021525</v>
      </c>
      <c r="AT148" s="306">
        <f t="shared" si="52"/>
        <v>21.679869172160117</v>
      </c>
      <c r="AU148" s="306">
        <f t="shared" si="52"/>
        <v>21.78176455726927</v>
      </c>
      <c r="AV148" s="306">
        <f t="shared" si="52"/>
        <v>21.884138850688434</v>
      </c>
      <c r="AW148" s="306">
        <f t="shared" si="52"/>
        <v>21.986994303286664</v>
      </c>
      <c r="AX148" s="306">
        <f t="shared" si="52"/>
        <v>22.090333176512111</v>
      </c>
      <c r="AY148" s="306">
        <f t="shared" si="52"/>
        <v>22.194157742441718</v>
      </c>
      <c r="AZ148" s="306">
        <f t="shared" si="52"/>
        <v>22.29847028383119</v>
      </c>
      <c r="BA148" s="306">
        <f t="shared" si="52"/>
        <v>22.403273094165197</v>
      </c>
      <c r="BB148" s="306">
        <f t="shared" si="52"/>
        <v>22.508568477707772</v>
      </c>
      <c r="BC148" s="306">
        <f t="shared" si="52"/>
        <v>22.614358749552995</v>
      </c>
    </row>
    <row r="149" spans="2:58" s="206" customFormat="1" ht="16.95" customHeight="1" x14ac:dyDescent="0.3">
      <c r="B149" s="206" t="s">
        <v>991</v>
      </c>
      <c r="C149" s="306">
        <f>'R&amp;C-Painel de Controle'!D31*312*'R&amp;C-Painel de Controle'!H31*(1-0.0925-$C$10)/1000000</f>
        <v>1.8329339368248809</v>
      </c>
      <c r="D149" s="306">
        <f>C149*(1+'R&amp;C-Painel de Controle'!$D$27)</f>
        <v>1.8415487263279577</v>
      </c>
      <c r="E149" s="306">
        <f>D149*(1+'R&amp;C-Painel de Controle'!$D$27)</f>
        <v>1.850204005341699</v>
      </c>
      <c r="F149" s="306">
        <f>E149*(1+'R&amp;C-Painel de Controle'!$D$27)</f>
        <v>1.8588999641668049</v>
      </c>
      <c r="G149" s="306">
        <f>F149*(1+'R&amp;C-Painel de Controle'!$D$27)</f>
        <v>1.8676367939983887</v>
      </c>
      <c r="H149" s="306">
        <f>G149*(1+'R&amp;C-Painel de Controle'!$D$27)</f>
        <v>1.876414686930181</v>
      </c>
      <c r="I149" s="306">
        <f>H149*(1+'R&amp;C-Painel de Controle'!$D$27)</f>
        <v>1.8852338359587526</v>
      </c>
      <c r="J149" s="306">
        <f>I149*(1+'R&amp;C-Painel de Controle'!$D$27)</f>
        <v>1.8940944349877586</v>
      </c>
      <c r="K149" s="306">
        <f>J149*(1+'R&amp;C-Painel de Controle'!$D$27)</f>
        <v>1.902996678832201</v>
      </c>
      <c r="L149" s="306">
        <f>K149*(1+'R&amp;C-Painel de Controle'!$D$27)</f>
        <v>1.9119407632227123</v>
      </c>
      <c r="M149" s="306">
        <f>L149*(1+'R&amp;C-Painel de Controle'!$D$27)</f>
        <v>1.9209268848098588</v>
      </c>
      <c r="N149" s="306">
        <f>M149*(1+'R&amp;C-Painel de Controle'!$D$27)</f>
        <v>1.9299552411684651</v>
      </c>
      <c r="O149" s="306">
        <f>N149*(1+'R&amp;C-Painel de Controle'!$D$27)</f>
        <v>1.9390260308019567</v>
      </c>
      <c r="P149" s="306">
        <f>O149*(1+'R&amp;C-Painel de Controle'!$D$27)</f>
        <v>1.9481394531467258</v>
      </c>
      <c r="Q149" s="306">
        <f>P149*(1+'R&amp;C-Painel de Controle'!$D$27)</f>
        <v>1.9572957085765152</v>
      </c>
      <c r="R149" s="306">
        <f>Q149*(1+'R&amp;C-Painel de Controle'!$D$27)</f>
        <v>1.9664949984068247</v>
      </c>
      <c r="S149" s="306">
        <f>R149*(1+'R&amp;C-Painel de Controle'!$D$27)</f>
        <v>1.9757375248993367</v>
      </c>
      <c r="T149" s="306">
        <f>S149*(1+'R&amp;C-Painel de Controle'!$D$27)</f>
        <v>1.9850234912663636</v>
      </c>
      <c r="U149" s="306">
        <f>T149*(1+'R&amp;C-Painel de Controle'!$D$27)</f>
        <v>1.9943531016753153</v>
      </c>
      <c r="V149" s="306">
        <f>U149*(1+'R&amp;C-Painel de Controle'!$D$27)</f>
        <v>2.0037265612531892</v>
      </c>
      <c r="W149" s="306">
        <f>V149*(1+'R&amp;C-Painel de Controle'!$D$27)</f>
        <v>2.0131440760910788</v>
      </c>
      <c r="X149" s="306">
        <f>W149*(1+'R&amp;C-Painel de Controle'!$D$27)</f>
        <v>2.0226058532487068</v>
      </c>
      <c r="Y149" s="306">
        <f>X149*(1+'R&amp;C-Painel de Controle'!$D$27)</f>
        <v>2.0321121007589755</v>
      </c>
      <c r="Z149" s="306">
        <f>Y149*(1+'R&amp;C-Painel de Controle'!$D$27)</f>
        <v>2.0416630276325427</v>
      </c>
      <c r="AA149" s="306">
        <f>Z149*(1+'R&amp;C-Painel de Controle'!$D$27)</f>
        <v>2.0512588438624153</v>
      </c>
      <c r="AB149" s="306">
        <f>AA149*(1+'R&amp;C-Painel de Controle'!$D$27)</f>
        <v>2.0608997604285686</v>
      </c>
      <c r="AC149" s="306">
        <f>AB149*(1+'R&amp;C-Painel de Controle'!$D$27)</f>
        <v>2.0705859893025829</v>
      </c>
      <c r="AD149" s="306">
        <f>AC149*(1+'R&amp;C-Painel de Controle'!$D$27)</f>
        <v>2.080317743452305</v>
      </c>
      <c r="AE149" s="306">
        <f>AD149*(1+'R&amp;C-Painel de Controle'!$D$27)</f>
        <v>2.0900952368465306</v>
      </c>
      <c r="AF149" s="306">
        <f>AE149*(1+'R&amp;C-Painel de Controle'!$D$27)</f>
        <v>2.0999186844597091</v>
      </c>
      <c r="AG149" s="306">
        <f>AF149*(1+'R&amp;C-Painel de Controle'!$D$27)</f>
        <v>2.1097883022766695</v>
      </c>
      <c r="AH149" s="306">
        <f>AG149*(1+'R&amp;C-Painel de Controle'!$D$27)</f>
        <v>2.1197043072973698</v>
      </c>
      <c r="AI149" s="306">
        <f>AH149*(1+'R&amp;C-Painel de Controle'!$D$27)</f>
        <v>2.1296669175416674</v>
      </c>
      <c r="AJ149" s="306">
        <f>AI149*(1+'R&amp;C-Painel de Controle'!$D$27)</f>
        <v>2.1396763520541131</v>
      </c>
      <c r="AK149" s="306">
        <f>AJ149*(1+'R&amp;C-Painel de Controle'!$D$27)</f>
        <v>2.1497328309087673</v>
      </c>
      <c r="AL149" s="306">
        <f>AK149*(1+'R&amp;C-Painel de Controle'!$D$27)</f>
        <v>2.1598365752140385</v>
      </c>
      <c r="AM149" s="306">
        <f>AL149*(1+'R&amp;C-Painel de Controle'!$D$27)</f>
        <v>2.1699878071175442</v>
      </c>
      <c r="AN149" s="306">
        <f>AM149*(1+'R&amp;C-Painel de Controle'!$D$27)</f>
        <v>2.1801867498109964</v>
      </c>
      <c r="AO149" s="306">
        <f>AN149*(1+'R&amp;C-Painel de Controle'!$D$27)</f>
        <v>2.190433627535108</v>
      </c>
      <c r="AP149" s="306">
        <f>AO149*(1+'R&amp;C-Painel de Controle'!$D$27)</f>
        <v>2.2007286655845228</v>
      </c>
      <c r="AQ149" s="306">
        <f>AP149*(1+'R&amp;C-Painel de Controle'!$D$27)</f>
        <v>2.2110720903127699</v>
      </c>
      <c r="AR149" s="306">
        <f>AQ149*(1+'R&amp;C-Painel de Controle'!$D$27)</f>
        <v>2.2214641291372397</v>
      </c>
      <c r="AS149" s="306">
        <f>AR149*(1+'R&amp;C-Painel de Controle'!$D$27)</f>
        <v>2.2319050105441844</v>
      </c>
      <c r="AT149" s="306">
        <f>AS149*(1+'R&amp;C-Painel de Controle'!$D$27)</f>
        <v>2.2423949640937417</v>
      </c>
      <c r="AU149" s="306">
        <f>AT149*(1+'R&amp;C-Painel de Controle'!$D$27)</f>
        <v>2.252934220424982</v>
      </c>
      <c r="AV149" s="306">
        <f>AU149*(1+'R&amp;C-Painel de Controle'!$D$27)</f>
        <v>2.2635230112609794</v>
      </c>
      <c r="AW149" s="306">
        <f>AV149*(1+'R&amp;C-Painel de Controle'!$D$27)</f>
        <v>2.2741615694139057</v>
      </c>
      <c r="AX149" s="306">
        <f>AW149*(1+'R&amp;C-Painel de Controle'!$D$27)</f>
        <v>2.284850128790151</v>
      </c>
      <c r="AY149" s="306">
        <f>AX149*(1+'R&amp;C-Painel de Controle'!$D$27)</f>
        <v>2.2955889243954646</v>
      </c>
      <c r="AZ149" s="306">
        <f>AY149*(1+'R&amp;C-Painel de Controle'!$D$27)</f>
        <v>2.306378192340123</v>
      </c>
      <c r="BA149" s="306">
        <f>AZ149*(1+'R&amp;C-Painel de Controle'!$D$27)</f>
        <v>2.3172181698441214</v>
      </c>
      <c r="BB149" s="306">
        <f>BA149*(1+'R&amp;C-Painel de Controle'!$D$27)</f>
        <v>2.3281090952423886</v>
      </c>
      <c r="BC149" s="306">
        <f>BB149*(1+'R&amp;C-Painel de Controle'!$D$27)</f>
        <v>2.3390512079900279</v>
      </c>
    </row>
    <row r="150" spans="2:58" s="206" customFormat="1" ht="25.2" customHeight="1" x14ac:dyDescent="0.3">
      <c r="B150" s="915" t="s">
        <v>674</v>
      </c>
      <c r="R150" s="299"/>
    </row>
    <row r="151" spans="2:58" s="206" customFormat="1" ht="16.95" customHeight="1" outlineLevel="1" x14ac:dyDescent="0.3">
      <c r="B151" s="206" t="s">
        <v>675</v>
      </c>
      <c r="C151" s="307">
        <f t="shared" ref="C151:BC151" si="53">C148+C121-C119</f>
        <v>15.147185395787854</v>
      </c>
      <c r="D151" s="307">
        <f t="shared" si="53"/>
        <v>15.230474696898057</v>
      </c>
      <c r="E151" s="307">
        <f t="shared" si="53"/>
        <v>15.314155457723476</v>
      </c>
      <c r="F151" s="307">
        <f t="shared" si="53"/>
        <v>-2.8300297574463116</v>
      </c>
      <c r="G151" s="307">
        <f t="shared" si="53"/>
        <v>-2.7455605489611301</v>
      </c>
      <c r="H151" s="307">
        <f t="shared" si="53"/>
        <v>-2.6606943351960624</v>
      </c>
      <c r="I151" s="307">
        <f t="shared" si="53"/>
        <v>-2.5754292502262999</v>
      </c>
      <c r="J151" s="307">
        <f t="shared" si="53"/>
        <v>-2.4897634193571818</v>
      </c>
      <c r="K151" s="307">
        <f t="shared" si="53"/>
        <v>-2.4036949590829764</v>
      </c>
      <c r="L151" s="307">
        <f t="shared" si="53"/>
        <v>-2.3172219770454845</v>
      </c>
      <c r="M151" s="307">
        <f t="shared" si="53"/>
        <v>-2.2303425719924164</v>
      </c>
      <c r="N151" s="307">
        <f t="shared" si="53"/>
        <v>-2.1430548337356008</v>
      </c>
      <c r="O151" s="307">
        <f t="shared" si="53"/>
        <v>-2.0553568431089744</v>
      </c>
      <c r="P151" s="307">
        <f t="shared" si="53"/>
        <v>-1.9672466719264037</v>
      </c>
      <c r="Q151" s="307">
        <f t="shared" si="53"/>
        <v>-1.878722382939273</v>
      </c>
      <c r="R151" s="307">
        <f t="shared" si="53"/>
        <v>-1.7897820297939049</v>
      </c>
      <c r="S151" s="307">
        <f t="shared" si="53"/>
        <v>-1.7004236569887539</v>
      </c>
      <c r="T151" s="307">
        <f t="shared" si="53"/>
        <v>-1.6106452998314182</v>
      </c>
      <c r="U151" s="307">
        <f t="shared" si="53"/>
        <v>-1.5204449843954428</v>
      </c>
      <c r="V151" s="307">
        <f t="shared" si="53"/>
        <v>-1.4298207274769226</v>
      </c>
      <c r="W151" s="307">
        <f t="shared" si="53"/>
        <v>-1.3387705365508822</v>
      </c>
      <c r="X151" s="307">
        <f t="shared" si="53"/>
        <v>-1.2472924097274891</v>
      </c>
      <c r="Y151" s="307">
        <f t="shared" si="53"/>
        <v>-1.1553843357080211</v>
      </c>
      <c r="Z151" s="307">
        <f t="shared" si="53"/>
        <v>-1.063044293740667</v>
      </c>
      <c r="AA151" s="307">
        <f t="shared" si="53"/>
        <v>-0.97027025357606789</v>
      </c>
      <c r="AB151" s="307">
        <f t="shared" si="53"/>
        <v>-0.8770601754226881</v>
      </c>
      <c r="AC151" s="307">
        <f t="shared" si="53"/>
        <v>-0.78341200990199411</v>
      </c>
      <c r="AD151" s="307">
        <f t="shared" si="53"/>
        <v>-0.68932369800334925</v>
      </c>
      <c r="AE151" s="307">
        <f t="shared" si="53"/>
        <v>-0.5947931710387806</v>
      </c>
      <c r="AF151" s="307">
        <f t="shared" si="53"/>
        <v>-0.49981835059748292</v>
      </c>
      <c r="AG151" s="307">
        <f t="shared" si="53"/>
        <v>-0.40439714850010233</v>
      </c>
      <c r="AH151" s="307">
        <f t="shared" si="53"/>
        <v>-0.3085274667528779</v>
      </c>
      <c r="AI151" s="307">
        <f t="shared" si="53"/>
        <v>-0.21220719750143147</v>
      </c>
      <c r="AJ151" s="307">
        <f t="shared" si="53"/>
        <v>-0.11543422298450423</v>
      </c>
      <c r="AK151" s="307">
        <f t="shared" si="53"/>
        <v>-1.8206415487348693E-2</v>
      </c>
      <c r="AL151" s="307">
        <f t="shared" si="53"/>
        <v>7.9478362705039274E-2</v>
      </c>
      <c r="AM151" s="307">
        <f t="shared" si="53"/>
        <v>0.17762225935493703</v>
      </c>
      <c r="AN151" s="307">
        <f t="shared" si="53"/>
        <v>0.27622743231908942</v>
      </c>
      <c r="AO151" s="307">
        <f t="shared" si="53"/>
        <v>0.37529604959617302</v>
      </c>
      <c r="AP151" s="307">
        <f t="shared" si="53"/>
        <v>0.47483028937446292</v>
      </c>
      <c r="AQ151" s="307">
        <f t="shared" si="53"/>
        <v>0.57483234007969841</v>
      </c>
      <c r="AR151" s="307">
        <f t="shared" si="53"/>
        <v>0.67530440042325424</v>
      </c>
      <c r="AS151" s="307">
        <f t="shared" si="53"/>
        <v>0.77624867945043263</v>
      </c>
      <c r="AT151" s="307">
        <f t="shared" si="53"/>
        <v>0.87766739658902537</v>
      </c>
      <c r="AU151" s="307">
        <f t="shared" si="53"/>
        <v>0.97956278169817779</v>
      </c>
      <c r="AV151" s="307">
        <f t="shared" si="53"/>
        <v>1.0819370751173416</v>
      </c>
      <c r="AW151" s="307">
        <f t="shared" si="53"/>
        <v>1.1847925277155724</v>
      </c>
      <c r="AX151" s="307">
        <f t="shared" si="53"/>
        <v>1.288131400941019</v>
      </c>
      <c r="AY151" s="307">
        <f t="shared" si="53"/>
        <v>1.3919559668706256</v>
      </c>
      <c r="AZ151" s="307">
        <f t="shared" si="53"/>
        <v>1.4962685082600977</v>
      </c>
      <c r="BA151" s="307">
        <f t="shared" si="53"/>
        <v>1.601071318594105</v>
      </c>
      <c r="BB151" s="307">
        <f t="shared" si="53"/>
        <v>1.7063667021366804</v>
      </c>
      <c r="BC151" s="307">
        <f t="shared" si="53"/>
        <v>1.812156973981903</v>
      </c>
    </row>
    <row r="152" spans="2:58" s="206" customFormat="1" ht="16.95" customHeight="1" outlineLevel="1" x14ac:dyDescent="0.3">
      <c r="B152" s="206" t="s">
        <v>413</v>
      </c>
      <c r="C152" s="307">
        <f>C63</f>
        <v>40.365271459275199</v>
      </c>
      <c r="D152" s="307">
        <f>IF(SUM($C$152:C152)&lt;'R&amp;C-Painel de Controle'!$H$24,D63,0)</f>
        <v>46.69745867787509</v>
      </c>
      <c r="E152" s="307">
        <f>IF(SUM($C$152:D152)&lt;'R&amp;C-Painel de Controle'!$H$24,E63,0)</f>
        <v>55.585486073142917</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95" customHeight="1" outlineLevel="1" x14ac:dyDescent="0.3">
      <c r="B153" s="206" t="s">
        <v>414</v>
      </c>
      <c r="C153" s="307">
        <f t="shared" ref="C153:BC153" si="54">C151-C152</f>
        <v>-25.218086063487345</v>
      </c>
      <c r="D153" s="307">
        <f t="shared" si="54"/>
        <v>-31.466983980977034</v>
      </c>
      <c r="E153" s="307">
        <f t="shared" si="54"/>
        <v>-40.271330615419444</v>
      </c>
      <c r="F153" s="307">
        <f t="shared" si="54"/>
        <v>-2.8300297574463116</v>
      </c>
      <c r="G153" s="307">
        <f t="shared" si="54"/>
        <v>-2.7455605489611301</v>
      </c>
      <c r="H153" s="307">
        <f t="shared" si="54"/>
        <v>-2.6606943351960624</v>
      </c>
      <c r="I153" s="307">
        <f t="shared" si="54"/>
        <v>-2.5754292502262999</v>
      </c>
      <c r="J153" s="307">
        <f t="shared" si="54"/>
        <v>-2.4897634193571818</v>
      </c>
      <c r="K153" s="307">
        <f t="shared" si="54"/>
        <v>-2.4036949590829764</v>
      </c>
      <c r="L153" s="307">
        <f t="shared" si="54"/>
        <v>-2.3172219770454845</v>
      </c>
      <c r="M153" s="307">
        <f t="shared" si="54"/>
        <v>-2.2303425719924164</v>
      </c>
      <c r="N153" s="307">
        <f t="shared" si="54"/>
        <v>-2.1430548337356008</v>
      </c>
      <c r="O153" s="307">
        <f t="shared" si="54"/>
        <v>-2.0553568431089744</v>
      </c>
      <c r="P153" s="307">
        <f t="shared" si="54"/>
        <v>-1.9672466719264037</v>
      </c>
      <c r="Q153" s="307">
        <f t="shared" si="54"/>
        <v>-1.878722382939273</v>
      </c>
      <c r="R153" s="307">
        <f t="shared" si="54"/>
        <v>-1.7897820297939049</v>
      </c>
      <c r="S153" s="307">
        <f t="shared" si="54"/>
        <v>-1.7004236569887539</v>
      </c>
      <c r="T153" s="307">
        <f t="shared" si="54"/>
        <v>-1.6106452998314182</v>
      </c>
      <c r="U153" s="307">
        <f t="shared" si="54"/>
        <v>-1.5204449843954428</v>
      </c>
      <c r="V153" s="307">
        <f t="shared" si="54"/>
        <v>-1.4298207274769226</v>
      </c>
      <c r="W153" s="307">
        <f t="shared" si="54"/>
        <v>-1.3387705365508822</v>
      </c>
      <c r="X153" s="307">
        <f t="shared" si="54"/>
        <v>-1.2472924097274891</v>
      </c>
      <c r="Y153" s="307">
        <f t="shared" si="54"/>
        <v>-1.1553843357080211</v>
      </c>
      <c r="Z153" s="307">
        <f t="shared" si="54"/>
        <v>-1.063044293740667</v>
      </c>
      <c r="AA153" s="307">
        <f t="shared" si="54"/>
        <v>-0.97027025357606789</v>
      </c>
      <c r="AB153" s="307">
        <f t="shared" si="54"/>
        <v>-0.8770601754226881</v>
      </c>
      <c r="AC153" s="307">
        <f t="shared" si="54"/>
        <v>-0.78341200990199411</v>
      </c>
      <c r="AD153" s="307">
        <f t="shared" si="54"/>
        <v>-0.68932369800334925</v>
      </c>
      <c r="AE153" s="307">
        <f t="shared" si="54"/>
        <v>-0.5947931710387806</v>
      </c>
      <c r="AF153" s="307">
        <f t="shared" si="54"/>
        <v>-0.49981835059748292</v>
      </c>
      <c r="AG153" s="307">
        <f t="shared" si="54"/>
        <v>-0.40439714850010233</v>
      </c>
      <c r="AH153" s="307">
        <f t="shared" si="54"/>
        <v>-0.3085274667528779</v>
      </c>
      <c r="AI153" s="307">
        <f t="shared" si="54"/>
        <v>-0.21220719750143147</v>
      </c>
      <c r="AJ153" s="307">
        <f t="shared" si="54"/>
        <v>-0.11543422298450423</v>
      </c>
      <c r="AK153" s="307">
        <f t="shared" si="54"/>
        <v>-1.8206415487348693E-2</v>
      </c>
      <c r="AL153" s="307">
        <f t="shared" si="54"/>
        <v>7.9478362705039274E-2</v>
      </c>
      <c r="AM153" s="307">
        <f t="shared" si="54"/>
        <v>0.17762225935493703</v>
      </c>
      <c r="AN153" s="307">
        <f t="shared" si="54"/>
        <v>0.27622743231908942</v>
      </c>
      <c r="AO153" s="307">
        <f t="shared" si="54"/>
        <v>0.37529604959617302</v>
      </c>
      <c r="AP153" s="307">
        <f t="shared" si="54"/>
        <v>0.47483028937446292</v>
      </c>
      <c r="AQ153" s="307">
        <f t="shared" si="54"/>
        <v>0.57483234007969841</v>
      </c>
      <c r="AR153" s="307">
        <f t="shared" si="54"/>
        <v>0.67530440042325424</v>
      </c>
      <c r="AS153" s="307">
        <f t="shared" si="54"/>
        <v>0.77624867945043263</v>
      </c>
      <c r="AT153" s="307">
        <f t="shared" si="54"/>
        <v>0.87766739658902537</v>
      </c>
      <c r="AU153" s="307">
        <f t="shared" si="54"/>
        <v>0.97956278169817779</v>
      </c>
      <c r="AV153" s="307">
        <f t="shared" si="54"/>
        <v>1.0819370751173416</v>
      </c>
      <c r="AW153" s="307">
        <f t="shared" si="54"/>
        <v>1.1847925277155724</v>
      </c>
      <c r="AX153" s="307">
        <f t="shared" si="54"/>
        <v>1.288131400941019</v>
      </c>
      <c r="AY153" s="307">
        <f t="shared" si="54"/>
        <v>1.3919559668706256</v>
      </c>
      <c r="AZ153" s="307">
        <f t="shared" si="54"/>
        <v>1.4962685082600977</v>
      </c>
      <c r="BA153" s="307">
        <f t="shared" si="54"/>
        <v>1.601071318594105</v>
      </c>
      <c r="BB153" s="307">
        <f t="shared" si="54"/>
        <v>1.7063667021366804</v>
      </c>
      <c r="BC153" s="307">
        <f t="shared" si="54"/>
        <v>1.812156973981903</v>
      </c>
    </row>
    <row r="154" spans="2:58" s="206" customFormat="1" ht="16.95" customHeight="1" outlineLevel="1" x14ac:dyDescent="0.3">
      <c r="B154" s="301" t="s">
        <v>415</v>
      </c>
      <c r="C154" s="307">
        <f>IF((C153&gt;0),C153*(1-($C$26+$C$25)),C153)</f>
        <v>-25.218086063487345</v>
      </c>
      <c r="D154" s="307">
        <f t="shared" ref="D154:BC154" si="55">IF((D153&gt;0),D153*(1-($C$26+$C$25)),D153)</f>
        <v>-31.466983980977034</v>
      </c>
      <c r="E154" s="307">
        <f t="shared" si="55"/>
        <v>-40.271330615419444</v>
      </c>
      <c r="F154" s="307">
        <f t="shared" si="55"/>
        <v>-2.8300297574463116</v>
      </c>
      <c r="G154" s="307">
        <f t="shared" si="55"/>
        <v>-2.7455605489611301</v>
      </c>
      <c r="H154" s="307">
        <f t="shared" si="55"/>
        <v>-2.6606943351960624</v>
      </c>
      <c r="I154" s="307">
        <f t="shared" si="55"/>
        <v>-2.5754292502262999</v>
      </c>
      <c r="J154" s="307">
        <f t="shared" si="55"/>
        <v>-2.4897634193571818</v>
      </c>
      <c r="K154" s="307">
        <f t="shared" si="55"/>
        <v>-2.4036949590829764</v>
      </c>
      <c r="L154" s="307">
        <f t="shared" si="55"/>
        <v>-2.3172219770454845</v>
      </c>
      <c r="M154" s="307">
        <f t="shared" si="55"/>
        <v>-2.2303425719924164</v>
      </c>
      <c r="N154" s="307">
        <f t="shared" si="55"/>
        <v>-2.1430548337356008</v>
      </c>
      <c r="O154" s="307">
        <f t="shared" si="55"/>
        <v>-2.0553568431089744</v>
      </c>
      <c r="P154" s="307">
        <f t="shared" si="55"/>
        <v>-1.9672466719264037</v>
      </c>
      <c r="Q154" s="307">
        <f t="shared" si="55"/>
        <v>-1.878722382939273</v>
      </c>
      <c r="R154" s="307">
        <f t="shared" si="55"/>
        <v>-1.7897820297939049</v>
      </c>
      <c r="S154" s="307">
        <f t="shared" si="55"/>
        <v>-1.7004236569887539</v>
      </c>
      <c r="T154" s="307">
        <f t="shared" si="55"/>
        <v>-1.6106452998314182</v>
      </c>
      <c r="U154" s="307">
        <f t="shared" si="55"/>
        <v>-1.5204449843954428</v>
      </c>
      <c r="V154" s="307">
        <f t="shared" si="55"/>
        <v>-1.4298207274769226</v>
      </c>
      <c r="W154" s="307">
        <f t="shared" si="55"/>
        <v>-1.3387705365508822</v>
      </c>
      <c r="X154" s="307">
        <f t="shared" si="55"/>
        <v>-1.2472924097274891</v>
      </c>
      <c r="Y154" s="307">
        <f t="shared" si="55"/>
        <v>-1.1553843357080211</v>
      </c>
      <c r="Z154" s="307">
        <f t="shared" si="55"/>
        <v>-1.063044293740667</v>
      </c>
      <c r="AA154" s="307">
        <f t="shared" si="55"/>
        <v>-0.97027025357606789</v>
      </c>
      <c r="AB154" s="307">
        <f t="shared" si="55"/>
        <v>-0.8770601754226881</v>
      </c>
      <c r="AC154" s="307">
        <f t="shared" si="55"/>
        <v>-0.78341200990199411</v>
      </c>
      <c r="AD154" s="307">
        <f t="shared" si="55"/>
        <v>-0.68932369800334925</v>
      </c>
      <c r="AE154" s="307">
        <f t="shared" si="55"/>
        <v>-0.5947931710387806</v>
      </c>
      <c r="AF154" s="307">
        <f t="shared" si="55"/>
        <v>-0.49981835059748292</v>
      </c>
      <c r="AG154" s="307">
        <f t="shared" si="55"/>
        <v>-0.40439714850010233</v>
      </c>
      <c r="AH154" s="307">
        <f t="shared" si="55"/>
        <v>-0.3085274667528779</v>
      </c>
      <c r="AI154" s="307">
        <f t="shared" si="55"/>
        <v>-0.21220719750143147</v>
      </c>
      <c r="AJ154" s="307">
        <f t="shared" si="55"/>
        <v>-0.11543422298450423</v>
      </c>
      <c r="AK154" s="307">
        <f t="shared" si="55"/>
        <v>-1.8206415487348693E-2</v>
      </c>
      <c r="AL154" s="307">
        <f t="shared" si="55"/>
        <v>5.2455719385325922E-2</v>
      </c>
      <c r="AM154" s="307">
        <f t="shared" si="55"/>
        <v>0.11723069117425844</v>
      </c>
      <c r="AN154" s="307">
        <f t="shared" si="55"/>
        <v>0.18231010533059902</v>
      </c>
      <c r="AO154" s="307">
        <f t="shared" si="55"/>
        <v>0.24769539273347421</v>
      </c>
      <c r="AP154" s="307">
        <f t="shared" si="55"/>
        <v>0.31338799098714554</v>
      </c>
      <c r="AQ154" s="307">
        <f t="shared" si="55"/>
        <v>0.37938934445260097</v>
      </c>
      <c r="AR154" s="307">
        <f t="shared" si="55"/>
        <v>0.44570090427934783</v>
      </c>
      <c r="AS154" s="307">
        <f t="shared" si="55"/>
        <v>0.51232412843728559</v>
      </c>
      <c r="AT154" s="307">
        <f t="shared" si="55"/>
        <v>0.57926048174875677</v>
      </c>
      <c r="AU154" s="307">
        <f t="shared" si="55"/>
        <v>0.64651143592079741</v>
      </c>
      <c r="AV154" s="307">
        <f t="shared" si="55"/>
        <v>0.71407846957744547</v>
      </c>
      <c r="AW154" s="307">
        <f t="shared" si="55"/>
        <v>0.7819630682922778</v>
      </c>
      <c r="AX154" s="307">
        <f t="shared" si="55"/>
        <v>0.85016672462107257</v>
      </c>
      <c r="AY154" s="307">
        <f t="shared" si="55"/>
        <v>0.918690938134613</v>
      </c>
      <c r="AZ154" s="307">
        <f t="shared" si="55"/>
        <v>0.98753721545166451</v>
      </c>
      <c r="BA154" s="307">
        <f t="shared" si="55"/>
        <v>1.0567070702721093</v>
      </c>
      <c r="BB154" s="307">
        <f t="shared" si="55"/>
        <v>1.126202023410209</v>
      </c>
      <c r="BC154" s="307">
        <f t="shared" si="55"/>
        <v>1.196023602828056</v>
      </c>
    </row>
    <row r="155" spans="2:58" s="206" customFormat="1" ht="16.95" customHeight="1" outlineLevel="1" x14ac:dyDescent="0.3">
      <c r="C155" s="308"/>
      <c r="D155" s="308"/>
      <c r="E155" s="308"/>
      <c r="F155" s="308"/>
      <c r="G155" s="308"/>
      <c r="H155" s="308"/>
      <c r="I155" s="308"/>
      <c r="J155" s="308"/>
      <c r="K155" s="308"/>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95" customHeight="1" outlineLevel="1" x14ac:dyDescent="0.3">
      <c r="B156" s="206" t="s">
        <v>464</v>
      </c>
      <c r="C156" s="307">
        <f>C154</f>
        <v>-25.218086063487345</v>
      </c>
      <c r="D156" s="307">
        <f t="shared" ref="D156:BC156" si="56">D154</f>
        <v>-31.466983980977034</v>
      </c>
      <c r="E156" s="307">
        <f t="shared" si="56"/>
        <v>-40.271330615419444</v>
      </c>
      <c r="F156" s="307">
        <f t="shared" si="56"/>
        <v>-2.8300297574463116</v>
      </c>
      <c r="G156" s="307">
        <f t="shared" si="56"/>
        <v>-2.7455605489611301</v>
      </c>
      <c r="H156" s="307">
        <f t="shared" si="56"/>
        <v>-2.6606943351960624</v>
      </c>
      <c r="I156" s="307">
        <f t="shared" si="56"/>
        <v>-2.5754292502262999</v>
      </c>
      <c r="J156" s="307">
        <f t="shared" si="56"/>
        <v>-2.4897634193571818</v>
      </c>
      <c r="K156" s="307">
        <f t="shared" si="56"/>
        <v>-2.4036949590829764</v>
      </c>
      <c r="L156" s="307">
        <f t="shared" si="56"/>
        <v>-2.3172219770454845</v>
      </c>
      <c r="M156" s="307">
        <f t="shared" si="56"/>
        <v>-2.2303425719924164</v>
      </c>
      <c r="N156" s="307">
        <f t="shared" si="56"/>
        <v>-2.1430548337356008</v>
      </c>
      <c r="O156" s="307">
        <f t="shared" si="56"/>
        <v>-2.0553568431089744</v>
      </c>
      <c r="P156" s="307">
        <f t="shared" si="56"/>
        <v>-1.9672466719264037</v>
      </c>
      <c r="Q156" s="307">
        <f t="shared" si="56"/>
        <v>-1.878722382939273</v>
      </c>
      <c r="R156" s="307">
        <f t="shared" si="56"/>
        <v>-1.7897820297939049</v>
      </c>
      <c r="S156" s="307">
        <f t="shared" si="56"/>
        <v>-1.7004236569887539</v>
      </c>
      <c r="T156" s="307">
        <f t="shared" si="56"/>
        <v>-1.6106452998314182</v>
      </c>
      <c r="U156" s="307">
        <f t="shared" si="56"/>
        <v>-1.5204449843954428</v>
      </c>
      <c r="V156" s="307">
        <f t="shared" si="56"/>
        <v>-1.4298207274769226</v>
      </c>
      <c r="W156" s="307">
        <f t="shared" si="56"/>
        <v>-1.3387705365508822</v>
      </c>
      <c r="X156" s="307">
        <f t="shared" si="56"/>
        <v>-1.2472924097274891</v>
      </c>
      <c r="Y156" s="307">
        <f t="shared" si="56"/>
        <v>-1.1553843357080211</v>
      </c>
      <c r="Z156" s="307">
        <f t="shared" si="56"/>
        <v>-1.063044293740667</v>
      </c>
      <c r="AA156" s="307">
        <f t="shared" si="56"/>
        <v>-0.97027025357606789</v>
      </c>
      <c r="AB156" s="307">
        <f t="shared" si="56"/>
        <v>-0.8770601754226881</v>
      </c>
      <c r="AC156" s="307">
        <f t="shared" si="56"/>
        <v>-0.78341200990199411</v>
      </c>
      <c r="AD156" s="307">
        <f t="shared" si="56"/>
        <v>-0.68932369800334925</v>
      </c>
      <c r="AE156" s="307">
        <f t="shared" si="56"/>
        <v>-0.5947931710387806</v>
      </c>
      <c r="AF156" s="307">
        <f t="shared" si="56"/>
        <v>-0.49981835059748292</v>
      </c>
      <c r="AG156" s="307">
        <f t="shared" si="56"/>
        <v>-0.40439714850010233</v>
      </c>
      <c r="AH156" s="307">
        <f t="shared" si="56"/>
        <v>-0.3085274667528779</v>
      </c>
      <c r="AI156" s="307">
        <f t="shared" si="56"/>
        <v>-0.21220719750143147</v>
      </c>
      <c r="AJ156" s="307">
        <f t="shared" si="56"/>
        <v>-0.11543422298450423</v>
      </c>
      <c r="AK156" s="307">
        <f t="shared" si="56"/>
        <v>-1.8206415487348693E-2</v>
      </c>
      <c r="AL156" s="307">
        <f t="shared" si="56"/>
        <v>5.2455719385325922E-2</v>
      </c>
      <c r="AM156" s="307">
        <f t="shared" si="56"/>
        <v>0.11723069117425844</v>
      </c>
      <c r="AN156" s="307">
        <f t="shared" si="56"/>
        <v>0.18231010533059902</v>
      </c>
      <c r="AO156" s="307">
        <f t="shared" si="56"/>
        <v>0.24769539273347421</v>
      </c>
      <c r="AP156" s="307">
        <f t="shared" si="56"/>
        <v>0.31338799098714554</v>
      </c>
      <c r="AQ156" s="307">
        <f t="shared" si="56"/>
        <v>0.37938934445260097</v>
      </c>
      <c r="AR156" s="307">
        <f t="shared" si="56"/>
        <v>0.44570090427934783</v>
      </c>
      <c r="AS156" s="307">
        <f t="shared" si="56"/>
        <v>0.51232412843728559</v>
      </c>
      <c r="AT156" s="307">
        <f t="shared" si="56"/>
        <v>0.57926048174875677</v>
      </c>
      <c r="AU156" s="307">
        <f t="shared" si="56"/>
        <v>0.64651143592079741</v>
      </c>
      <c r="AV156" s="307">
        <f t="shared" si="56"/>
        <v>0.71407846957744547</v>
      </c>
      <c r="AW156" s="307">
        <f t="shared" si="56"/>
        <v>0.7819630682922778</v>
      </c>
      <c r="AX156" s="307">
        <f t="shared" si="56"/>
        <v>0.85016672462107257</v>
      </c>
      <c r="AY156" s="307">
        <f t="shared" si="56"/>
        <v>0.918690938134613</v>
      </c>
      <c r="AZ156" s="307">
        <f t="shared" si="56"/>
        <v>0.98753721545166451</v>
      </c>
      <c r="BA156" s="307">
        <f t="shared" si="56"/>
        <v>1.0567070702721093</v>
      </c>
      <c r="BB156" s="307">
        <f t="shared" si="56"/>
        <v>1.126202023410209</v>
      </c>
      <c r="BC156" s="307">
        <f t="shared" si="56"/>
        <v>1.196023602828056</v>
      </c>
    </row>
    <row r="157" spans="2:58" s="309" customFormat="1" ht="16.95" customHeight="1" outlineLevel="1" x14ac:dyDescent="0.3">
      <c r="B157" s="309" t="s">
        <v>465</v>
      </c>
      <c r="C157" s="310">
        <f>C156</f>
        <v>-25.218086063487345</v>
      </c>
      <c r="D157" s="310">
        <f t="shared" ref="D157:BC157" si="57">C157+D156</f>
        <v>-56.685070044464382</v>
      </c>
      <c r="E157" s="310">
        <f t="shared" si="57"/>
        <v>-96.956400659883826</v>
      </c>
      <c r="F157" s="310">
        <f t="shared" si="57"/>
        <v>-99.786430417330138</v>
      </c>
      <c r="G157" s="310">
        <f t="shared" si="57"/>
        <v>-102.53199096629126</v>
      </c>
      <c r="H157" s="310">
        <f t="shared" si="57"/>
        <v>-105.19268530148733</v>
      </c>
      <c r="I157" s="310">
        <f t="shared" si="57"/>
        <v>-107.76811455171364</v>
      </c>
      <c r="J157" s="310">
        <f t="shared" si="57"/>
        <v>-110.25787797107083</v>
      </c>
      <c r="K157" s="310">
        <f t="shared" si="57"/>
        <v>-112.6615729301538</v>
      </c>
      <c r="L157" s="310">
        <f t="shared" si="57"/>
        <v>-114.97879490719927</v>
      </c>
      <c r="M157" s="310">
        <f t="shared" si="57"/>
        <v>-117.2091374791917</v>
      </c>
      <c r="N157" s="310">
        <f t="shared" si="57"/>
        <v>-119.3521923129273</v>
      </c>
      <c r="O157" s="310">
        <f t="shared" si="57"/>
        <v>-121.40754915603628</v>
      </c>
      <c r="P157" s="310">
        <f t="shared" si="57"/>
        <v>-123.37479582796269</v>
      </c>
      <c r="Q157" s="310">
        <f t="shared" si="57"/>
        <v>-125.25351821090196</v>
      </c>
      <c r="R157" s="310">
        <f t="shared" si="57"/>
        <v>-127.04330024069586</v>
      </c>
      <c r="S157" s="310">
        <f t="shared" si="57"/>
        <v>-128.74372389768462</v>
      </c>
      <c r="T157" s="310">
        <f t="shared" si="57"/>
        <v>-130.35436919751604</v>
      </c>
      <c r="U157" s="310">
        <f t="shared" si="57"/>
        <v>-131.87481418191149</v>
      </c>
      <c r="V157" s="310">
        <f t="shared" si="57"/>
        <v>-133.30463490938843</v>
      </c>
      <c r="W157" s="310">
        <f t="shared" si="57"/>
        <v>-134.64340544593932</v>
      </c>
      <c r="X157" s="310">
        <f t="shared" si="57"/>
        <v>-135.89069785566682</v>
      </c>
      <c r="Y157" s="310">
        <f t="shared" si="57"/>
        <v>-137.04608219137484</v>
      </c>
      <c r="Z157" s="310">
        <f t="shared" si="57"/>
        <v>-138.1091264851155</v>
      </c>
      <c r="AA157" s="310">
        <f t="shared" si="57"/>
        <v>-139.07939673869157</v>
      </c>
      <c r="AB157" s="310">
        <f t="shared" si="57"/>
        <v>-139.95645691411426</v>
      </c>
      <c r="AC157" s="310">
        <f t="shared" si="57"/>
        <v>-140.73986892401626</v>
      </c>
      <c r="AD157" s="310">
        <f t="shared" si="57"/>
        <v>-141.42919262201963</v>
      </c>
      <c r="AE157" s="310">
        <f t="shared" si="57"/>
        <v>-142.02398579305842</v>
      </c>
      <c r="AF157" s="310">
        <f t="shared" si="57"/>
        <v>-142.52380414365589</v>
      </c>
      <c r="AG157" s="310">
        <f t="shared" si="57"/>
        <v>-142.92820129215599</v>
      </c>
      <c r="AH157" s="310">
        <f t="shared" si="57"/>
        <v>-143.23672875890887</v>
      </c>
      <c r="AI157" s="310">
        <f t="shared" si="57"/>
        <v>-143.44893595641031</v>
      </c>
      <c r="AJ157" s="310">
        <f t="shared" si="57"/>
        <v>-143.56437017939481</v>
      </c>
      <c r="AK157" s="310">
        <f t="shared" si="57"/>
        <v>-143.58257659488217</v>
      </c>
      <c r="AL157" s="310">
        <f t="shared" si="57"/>
        <v>-143.53012087549683</v>
      </c>
      <c r="AM157" s="310">
        <f t="shared" si="57"/>
        <v>-143.41289018432258</v>
      </c>
      <c r="AN157" s="310">
        <f t="shared" si="57"/>
        <v>-143.23058007899198</v>
      </c>
      <c r="AO157" s="310">
        <f t="shared" si="57"/>
        <v>-142.9828846862585</v>
      </c>
      <c r="AP157" s="310">
        <f t="shared" si="57"/>
        <v>-142.66949669527136</v>
      </c>
      <c r="AQ157" s="310">
        <f t="shared" si="57"/>
        <v>-142.29010735081877</v>
      </c>
      <c r="AR157" s="310">
        <f t="shared" si="57"/>
        <v>-141.84440644653944</v>
      </c>
      <c r="AS157" s="310">
        <f t="shared" si="57"/>
        <v>-141.33208231810215</v>
      </c>
      <c r="AT157" s="310">
        <f t="shared" si="57"/>
        <v>-140.75282183635341</v>
      </c>
      <c r="AU157" s="310">
        <f t="shared" si="57"/>
        <v>-140.10631040043262</v>
      </c>
      <c r="AV157" s="310">
        <f t="shared" si="57"/>
        <v>-139.39223193085516</v>
      </c>
      <c r="AW157" s="310">
        <f t="shared" si="57"/>
        <v>-138.61026886256289</v>
      </c>
      <c r="AX157" s="310">
        <f t="shared" si="57"/>
        <v>-137.76010213794183</v>
      </c>
      <c r="AY157" s="310">
        <f t="shared" si="57"/>
        <v>-136.84141119980723</v>
      </c>
      <c r="AZ157" s="310">
        <f t="shared" si="57"/>
        <v>-135.85387398435557</v>
      </c>
      <c r="BA157" s="310">
        <f t="shared" si="57"/>
        <v>-134.79716691408348</v>
      </c>
      <c r="BB157" s="310">
        <f t="shared" si="57"/>
        <v>-133.67096489067328</v>
      </c>
      <c r="BC157" s="310">
        <f t="shared" si="57"/>
        <v>-132.47494128784521</v>
      </c>
    </row>
    <row r="158" spans="2:58" s="309" customFormat="1" ht="16.95" customHeight="1" outlineLevel="1" x14ac:dyDescent="0.3">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95" customHeight="1" outlineLevel="1" x14ac:dyDescent="0.3">
      <c r="B159" s="311" t="s">
        <v>466</v>
      </c>
      <c r="C159" s="312">
        <f>NPV($C$28,C156)</f>
        <v>-22.979848791222295</v>
      </c>
      <c r="D159" s="312">
        <f t="shared" ref="D159:BC159" si="58">NPV($C$28,D156)</f>
        <v>-28.674124276450733</v>
      </c>
      <c r="E159" s="312">
        <f t="shared" si="58"/>
        <v>-36.697039015326631</v>
      </c>
      <c r="F159" s="312">
        <f t="shared" si="58"/>
        <v>-2.5788497880866701</v>
      </c>
      <c r="G159" s="312">
        <f t="shared" si="58"/>
        <v>-2.5018776644442595</v>
      </c>
      <c r="H159" s="312">
        <f t="shared" si="58"/>
        <v>-2.4245437718207241</v>
      </c>
      <c r="I159" s="312">
        <f t="shared" si="58"/>
        <v>-2.3468464099018589</v>
      </c>
      <c r="J159" s="312">
        <f t="shared" si="58"/>
        <v>-2.2687838703819776</v>
      </c>
      <c r="K159" s="312">
        <f t="shared" si="58"/>
        <v>-2.1903544369263499</v>
      </c>
      <c r="L159" s="312">
        <f t="shared" si="58"/>
        <v>-2.1115563851334835</v>
      </c>
      <c r="M159" s="312">
        <f t="shared" si="58"/>
        <v>-2.0323879824971902</v>
      </c>
      <c r="N159" s="312">
        <f t="shared" si="58"/>
        <v>-1.9528474883685083</v>
      </c>
      <c r="O159" s="312">
        <f t="shared" si="58"/>
        <v>-1.8729331539174179</v>
      </c>
      <c r="P159" s="312">
        <f t="shared" si="58"/>
        <v>-1.7926432220944084</v>
      </c>
      <c r="Q159" s="312">
        <f t="shared" si="58"/>
        <v>-1.7119759275918289</v>
      </c>
      <c r="R159" s="312">
        <f t="shared" si="58"/>
        <v>-1.6309294968050894</v>
      </c>
      <c r="S159" s="312">
        <f t="shared" si="58"/>
        <v>-1.5495021477936521</v>
      </c>
      <c r="T159" s="312">
        <f t="shared" si="58"/>
        <v>-1.4676920902418611</v>
      </c>
      <c r="U159" s="312">
        <f t="shared" si="58"/>
        <v>-1.3854975254195763</v>
      </c>
      <c r="V159" s="312">
        <f t="shared" si="58"/>
        <v>-1.3029166461426305</v>
      </c>
      <c r="W159" s="312">
        <f t="shared" si="58"/>
        <v>-1.2199476367330802</v>
      </c>
      <c r="X159" s="312">
        <f t="shared" si="58"/>
        <v>-1.1365886729793049</v>
      </c>
      <c r="Y159" s="312">
        <f t="shared" si="58"/>
        <v>-1.0528379220958823</v>
      </c>
      <c r="Z159" s="312">
        <f t="shared" si="58"/>
        <v>-0.96869354268331243</v>
      </c>
      <c r="AA159" s="312">
        <f t="shared" si="58"/>
        <v>-0.88415368468750499</v>
      </c>
      <c r="AB159" s="312">
        <f t="shared" si="58"/>
        <v>-0.79921648935911072</v>
      </c>
      <c r="AC159" s="312">
        <f t="shared" si="58"/>
        <v>-0.7138800892126792</v>
      </c>
      <c r="AD159" s="312">
        <f t="shared" si="58"/>
        <v>-0.6281426079855561</v>
      </c>
      <c r="AE159" s="312">
        <f t="shared" si="58"/>
        <v>-0.54200216059666539</v>
      </c>
      <c r="AF159" s="312">
        <f t="shared" si="58"/>
        <v>-0.45545685310505096</v>
      </c>
      <c r="AG159" s="312">
        <f t="shared" si="58"/>
        <v>-0.36850478266821796</v>
      </c>
      <c r="AH159" s="312">
        <f t="shared" si="58"/>
        <v>-0.28114403750034439</v>
      </c>
      <c r="AI159" s="312">
        <f t="shared" si="58"/>
        <v>-0.19337269683017266</v>
      </c>
      <c r="AJ159" s="312">
        <f t="shared" si="58"/>
        <v>-0.10518883085885204</v>
      </c>
      <c r="AK159" s="312">
        <f t="shared" si="58"/>
        <v>-1.6590500717467371E-2</v>
      </c>
      <c r="AL159" s="312">
        <f t="shared" si="58"/>
        <v>4.7799999439881467E-2</v>
      </c>
      <c r="AM159" s="312">
        <f t="shared" si="58"/>
        <v>0.10682585308388777</v>
      </c>
      <c r="AN159" s="312">
        <f t="shared" si="58"/>
        <v>0.16612912824002099</v>
      </c>
      <c r="AO159" s="312">
        <f t="shared" si="58"/>
        <v>0.22571112878938784</v>
      </c>
      <c r="AP159" s="312">
        <f t="shared" si="58"/>
        <v>0.28557316474133915</v>
      </c>
      <c r="AQ159" s="312">
        <f t="shared" si="58"/>
        <v>0.34571655226225717</v>
      </c>
      <c r="AR159" s="312">
        <f t="shared" si="58"/>
        <v>0.40614261370452692</v>
      </c>
      <c r="AS159" s="312">
        <f t="shared" si="58"/>
        <v>0.46685267763558014</v>
      </c>
      <c r="AT159" s="312">
        <f t="shared" si="58"/>
        <v>0.52784807886710117</v>
      </c>
      <c r="AU159" s="312">
        <f t="shared" si="58"/>
        <v>0.58913015848441541</v>
      </c>
      <c r="AV159" s="312">
        <f t="shared" si="58"/>
        <v>0.65070026387592994</v>
      </c>
      <c r="AW159" s="312">
        <f t="shared" si="58"/>
        <v>0.71255974876278283</v>
      </c>
      <c r="AX159" s="312">
        <f t="shared" si="58"/>
        <v>0.77470997322860635</v>
      </c>
      <c r="AY159" s="312">
        <f t="shared" si="58"/>
        <v>0.83715230374941962</v>
      </c>
      <c r="AZ159" s="312">
        <f t="shared" si="58"/>
        <v>0.89988811322367834</v>
      </c>
      <c r="BA159" s="312">
        <f t="shared" si="58"/>
        <v>0.96291878100246886</v>
      </c>
      <c r="BB159" s="312">
        <f t="shared" si="58"/>
        <v>1.0262456929198187</v>
      </c>
      <c r="BC159" s="312">
        <f t="shared" si="58"/>
        <v>1.0898702413231784</v>
      </c>
    </row>
    <row r="160" spans="2:58" s="309" customFormat="1" ht="16.95" customHeight="1" outlineLevel="1" x14ac:dyDescent="0.3">
      <c r="B160" s="313" t="s">
        <v>467</v>
      </c>
      <c r="C160" s="312">
        <f>C159</f>
        <v>-22.979848791222295</v>
      </c>
      <c r="D160" s="312">
        <f t="shared" ref="D160:BC160" si="59">C160+D159</f>
        <v>-51.653973067673029</v>
      </c>
      <c r="E160" s="312">
        <f t="shared" si="59"/>
        <v>-88.351012082999659</v>
      </c>
      <c r="F160" s="312">
        <f t="shared" si="59"/>
        <v>-90.929861871086331</v>
      </c>
      <c r="G160" s="312">
        <f t="shared" si="59"/>
        <v>-93.431739535530596</v>
      </c>
      <c r="H160" s="312">
        <f t="shared" si="59"/>
        <v>-95.856283307351319</v>
      </c>
      <c r="I160" s="312">
        <f t="shared" si="59"/>
        <v>-98.203129717253177</v>
      </c>
      <c r="J160" s="312">
        <f t="shared" si="59"/>
        <v>-100.47191358763516</v>
      </c>
      <c r="K160" s="312">
        <f t="shared" si="59"/>
        <v>-102.66226802456151</v>
      </c>
      <c r="L160" s="312">
        <f t="shared" si="59"/>
        <v>-104.773824409695</v>
      </c>
      <c r="M160" s="312">
        <f t="shared" si="59"/>
        <v>-106.80621239219218</v>
      </c>
      <c r="N160" s="312">
        <f t="shared" si="59"/>
        <v>-108.75905988056068</v>
      </c>
      <c r="O160" s="312">
        <f t="shared" si="59"/>
        <v>-110.6319930344781</v>
      </c>
      <c r="P160" s="312">
        <f t="shared" si="59"/>
        <v>-112.42463625657251</v>
      </c>
      <c r="Q160" s="312">
        <f t="shared" si="59"/>
        <v>-114.13661218416433</v>
      </c>
      <c r="R160" s="312">
        <f t="shared" si="59"/>
        <v>-115.76754168096943</v>
      </c>
      <c r="S160" s="312">
        <f t="shared" si="59"/>
        <v>-117.31704382876308</v>
      </c>
      <c r="T160" s="312">
        <f t="shared" si="59"/>
        <v>-118.78473591900493</v>
      </c>
      <c r="U160" s="312">
        <f t="shared" si="59"/>
        <v>-120.17023344442451</v>
      </c>
      <c r="V160" s="312">
        <f t="shared" si="59"/>
        <v>-121.47315009056715</v>
      </c>
      <c r="W160" s="312">
        <f t="shared" si="59"/>
        <v>-122.69309772730023</v>
      </c>
      <c r="X160" s="312">
        <f t="shared" si="59"/>
        <v>-123.82968640027953</v>
      </c>
      <c r="Y160" s="312">
        <f t="shared" si="59"/>
        <v>-124.8825243223754</v>
      </c>
      <c r="Z160" s="312">
        <f t="shared" si="59"/>
        <v>-125.85121786505871</v>
      </c>
      <c r="AA160" s="312">
        <f t="shared" si="59"/>
        <v>-126.73537154974622</v>
      </c>
      <c r="AB160" s="312">
        <f t="shared" si="59"/>
        <v>-127.53458803910533</v>
      </c>
      <c r="AC160" s="312">
        <f t="shared" si="59"/>
        <v>-128.248468128318</v>
      </c>
      <c r="AD160" s="312">
        <f t="shared" si="59"/>
        <v>-128.87661073630355</v>
      </c>
      <c r="AE160" s="312">
        <f t="shared" si="59"/>
        <v>-129.41861289690021</v>
      </c>
      <c r="AF160" s="312">
        <f t="shared" si="59"/>
        <v>-129.87406975000528</v>
      </c>
      <c r="AG160" s="312">
        <f t="shared" si="59"/>
        <v>-130.2425745326735</v>
      </c>
      <c r="AH160" s="312">
        <f t="shared" si="59"/>
        <v>-130.52371857017386</v>
      </c>
      <c r="AI160" s="312">
        <f t="shared" si="59"/>
        <v>-130.71709126700404</v>
      </c>
      <c r="AJ160" s="312">
        <f t="shared" si="59"/>
        <v>-130.82228009786289</v>
      </c>
      <c r="AK160" s="312">
        <f t="shared" si="59"/>
        <v>-130.83887059858034</v>
      </c>
      <c r="AL160" s="312">
        <f t="shared" si="59"/>
        <v>-130.79107059914045</v>
      </c>
      <c r="AM160" s="312">
        <f t="shared" si="59"/>
        <v>-130.68424474605658</v>
      </c>
      <c r="AN160" s="312">
        <f t="shared" si="59"/>
        <v>-130.51811561781656</v>
      </c>
      <c r="AO160" s="312">
        <f t="shared" si="59"/>
        <v>-130.29240448902718</v>
      </c>
      <c r="AP160" s="312">
        <f t="shared" si="59"/>
        <v>-130.00683132428583</v>
      </c>
      <c r="AQ160" s="312">
        <f t="shared" si="59"/>
        <v>-129.66111477202358</v>
      </c>
      <c r="AR160" s="312">
        <f t="shared" si="59"/>
        <v>-129.25497215831905</v>
      </c>
      <c r="AS160" s="312">
        <f t="shared" si="59"/>
        <v>-128.78811948068346</v>
      </c>
      <c r="AT160" s="312">
        <f t="shared" si="59"/>
        <v>-128.26027140181637</v>
      </c>
      <c r="AU160" s="312">
        <f t="shared" si="59"/>
        <v>-127.67114124333196</v>
      </c>
      <c r="AV160" s="312">
        <f t="shared" si="59"/>
        <v>-127.02044097945603</v>
      </c>
      <c r="AW160" s="312">
        <f t="shared" si="59"/>
        <v>-126.30788123069324</v>
      </c>
      <c r="AX160" s="312">
        <f t="shared" si="59"/>
        <v>-125.53317125746463</v>
      </c>
      <c r="AY160" s="312">
        <f t="shared" si="59"/>
        <v>-124.69601895371521</v>
      </c>
      <c r="AZ160" s="312">
        <f t="shared" si="59"/>
        <v>-123.79613084049153</v>
      </c>
      <c r="BA160" s="312">
        <f t="shared" si="59"/>
        <v>-122.83321205948906</v>
      </c>
      <c r="BB160" s="312">
        <f t="shared" si="59"/>
        <v>-121.80696636656924</v>
      </c>
      <c r="BC160" s="312">
        <f t="shared" si="59"/>
        <v>-120.71709612524606</v>
      </c>
    </row>
    <row r="161" spans="1:58" s="309" customFormat="1" ht="16.95" customHeight="1" outlineLevel="1" x14ac:dyDescent="0.3">
      <c r="B161" s="309" t="s">
        <v>416</v>
      </c>
      <c r="C161" s="310">
        <f t="shared" ref="C161:AH161" si="60">C156/(1+$C$28)^C32</f>
        <v>-25.218086063487345</v>
      </c>
      <c r="D161" s="310">
        <f t="shared" si="60"/>
        <v>-28.674124276450733</v>
      </c>
      <c r="E161" s="310">
        <f t="shared" si="60"/>
        <v>-33.439984522805389</v>
      </c>
      <c r="F161" s="310">
        <f t="shared" si="60"/>
        <v>-2.1413917961588074</v>
      </c>
      <c r="G161" s="310">
        <f t="shared" si="60"/>
        <v>-1.8930897427977069</v>
      </c>
      <c r="H161" s="310">
        <f t="shared" si="60"/>
        <v>-1.6717456648823872</v>
      </c>
      <c r="I161" s="310">
        <f t="shared" si="60"/>
        <v>-1.4745513079047929</v>
      </c>
      <c r="J161" s="310">
        <f t="shared" si="60"/>
        <v>-1.2989827707870769</v>
      </c>
      <c r="K161" s="310">
        <f t="shared" si="60"/>
        <v>-1.1427723025262189</v>
      </c>
      <c r="L161" s="310">
        <f t="shared" si="60"/>
        <v>-1.0038828525369601</v>
      </c>
      <c r="M161" s="310">
        <f t="shared" si="60"/>
        <v>-0.88048510912731959</v>
      </c>
      <c r="N161" s="310">
        <f t="shared" si="60"/>
        <v>-0.77093678589882775</v>
      </c>
      <c r="O161" s="310">
        <f t="shared" si="60"/>
        <v>-0.67376393881977137</v>
      </c>
      <c r="P161" s="310">
        <f t="shared" si="60"/>
        <v>-0.58764411750026058</v>
      </c>
      <c r="Q161" s="310">
        <f t="shared" si="60"/>
        <v>-0.51139117300742187</v>
      </c>
      <c r="R161" s="310">
        <f t="shared" si="60"/>
        <v>-0.44394156158329978</v>
      </c>
      <c r="S161" s="310">
        <f t="shared" si="60"/>
        <v>-0.38434199903515742</v>
      </c>
      <c r="T161" s="310">
        <f t="shared" si="60"/>
        <v>-0.33173833451046625</v>
      </c>
      <c r="U161" s="310">
        <f t="shared" si="60"/>
        <v>-0.28536552498502932</v>
      </c>
      <c r="V161" s="310">
        <f t="shared" si="60"/>
        <v>-0.24453860320770696</v>
      </c>
      <c r="W161" s="310">
        <f t="shared" si="60"/>
        <v>-0.20864454217255399</v>
      </c>
      <c r="X161" s="310">
        <f t="shared" si="60"/>
        <v>-0.17713492853169369</v>
      </c>
      <c r="Y161" s="310">
        <f t="shared" si="60"/>
        <v>-0.14951936581307079</v>
      </c>
      <c r="Z161" s="310">
        <f t="shared" si="60"/>
        <v>-0.12535953595083879</v>
      </c>
      <c r="AA161" s="310">
        <f t="shared" si="60"/>
        <v>-0.10426385454893281</v>
      </c>
      <c r="AB161" s="310">
        <f t="shared" si="60"/>
        <v>-8.5882661549732967E-2</v>
      </c>
      <c r="AC161" s="310">
        <f t="shared" si="60"/>
        <v>-6.9903894632313182E-2</v>
      </c>
      <c r="AD161" s="310">
        <f t="shared" si="60"/>
        <v>-5.6049197775487107E-2</v>
      </c>
      <c r="AE161" s="310">
        <f t="shared" si="60"/>
        <v>-4.4070422041222523E-2</v>
      </c>
      <c r="AF161" s="310">
        <f t="shared" si="60"/>
        <v>-3.3746479810539014E-2</v>
      </c>
      <c r="AG161" s="310">
        <f t="shared" si="60"/>
        <v>-2.4880517479068949E-2</v>
      </c>
      <c r="AH161" s="310">
        <f t="shared" si="60"/>
        <v>-1.7297375031222716E-2</v>
      </c>
      <c r="AI161" s="310">
        <f t="shared" ref="AI161:BC161" si="61">AI156/(1+$C$28)^AI32</f>
        <v>-1.084130399498452E-2</v>
      </c>
      <c r="AJ161" s="310">
        <f t="shared" si="61"/>
        <v>-5.3739180651972513E-3</v>
      </c>
      <c r="AK161" s="310">
        <f t="shared" si="61"/>
        <v>-7.7235320004046014E-4</v>
      </c>
      <c r="AL161" s="310">
        <f t="shared" si="61"/>
        <v>2.0277732623963591E-3</v>
      </c>
      <c r="AM161" s="310">
        <f t="shared" si="61"/>
        <v>4.1295517658420803E-3</v>
      </c>
      <c r="AN161" s="310">
        <f t="shared" si="61"/>
        <v>5.8520412019205485E-3</v>
      </c>
      <c r="AO161" s="310">
        <f t="shared" si="61"/>
        <v>7.2451871113356093E-3</v>
      </c>
      <c r="AP161" s="310">
        <f t="shared" si="61"/>
        <v>8.353126756594921E-3</v>
      </c>
      <c r="AQ161" s="310">
        <f t="shared" si="61"/>
        <v>9.2148208162132761E-3</v>
      </c>
      <c r="AR161" s="310">
        <f t="shared" si="61"/>
        <v>9.8646191988223195E-3</v>
      </c>
      <c r="AS161" s="310">
        <f t="shared" si="61"/>
        <v>1.0332767653392767E-2</v>
      </c>
      <c r="AT161" s="310">
        <f t="shared" si="61"/>
        <v>1.0645861189204457E-2</v>
      </c>
      <c r="AU161" s="310">
        <f t="shared" si="61"/>
        <v>1.0827249721342776E-2</v>
      </c>
      <c r="AV161" s="310">
        <f t="shared" si="61"/>
        <v>1.0897400818121699E-2</v>
      </c>
      <c r="AW161" s="310">
        <f t="shared" si="61"/>
        <v>1.087422394029482E-2</v>
      </c>
      <c r="AX161" s="310">
        <f t="shared" si="61"/>
        <v>1.0773360123088136E-2</v>
      </c>
      <c r="AY161" s="310">
        <f t="shared" si="61"/>
        <v>1.0608440656372658E-2</v>
      </c>
      <c r="AZ161" s="310">
        <f t="shared" si="61"/>
        <v>1.0391317961503332E-2</v>
      </c>
      <c r="BA161" s="310">
        <f t="shared" si="61"/>
        <v>1.0132271541709405E-2</v>
      </c>
      <c r="BB161" s="310">
        <f t="shared" si="61"/>
        <v>9.8401915930170902E-3</v>
      </c>
      <c r="BC161" s="310">
        <f t="shared" si="61"/>
        <v>9.522742601432474E-3</v>
      </c>
    </row>
    <row r="162" spans="1:58" s="309" customFormat="1" ht="16.95" customHeight="1" outlineLevel="1" x14ac:dyDescent="0.3">
      <c r="B162" s="314" t="s">
        <v>417</v>
      </c>
      <c r="C162" s="310">
        <f>C161</f>
        <v>-25.218086063487345</v>
      </c>
      <c r="D162" s="310">
        <f t="shared" ref="D162:BC162" si="62">C162+D161</f>
        <v>-53.892210339938075</v>
      </c>
      <c r="E162" s="310">
        <f t="shared" si="62"/>
        <v>-87.332194862743464</v>
      </c>
      <c r="F162" s="310">
        <f t="shared" si="62"/>
        <v>-89.473586658902278</v>
      </c>
      <c r="G162" s="310">
        <f t="shared" si="62"/>
        <v>-91.366676401699991</v>
      </c>
      <c r="H162" s="310">
        <f t="shared" si="62"/>
        <v>-93.038422066582385</v>
      </c>
      <c r="I162" s="310">
        <f t="shared" si="62"/>
        <v>-94.512973374487174</v>
      </c>
      <c r="J162" s="310">
        <f t="shared" si="62"/>
        <v>-95.811956145274252</v>
      </c>
      <c r="K162" s="310">
        <f t="shared" si="62"/>
        <v>-96.954728447800477</v>
      </c>
      <c r="L162" s="310">
        <f t="shared" si="62"/>
        <v>-97.958611300337438</v>
      </c>
      <c r="M162" s="310">
        <f t="shared" si="62"/>
        <v>-98.839096409464759</v>
      </c>
      <c r="N162" s="310">
        <f t="shared" si="62"/>
        <v>-99.610033195363584</v>
      </c>
      <c r="O162" s="310">
        <f t="shared" si="62"/>
        <v>-100.28379713418336</v>
      </c>
      <c r="P162" s="310">
        <f t="shared" si="62"/>
        <v>-100.87144125168362</v>
      </c>
      <c r="Q162" s="310">
        <f t="shared" si="62"/>
        <v>-101.38283242469105</v>
      </c>
      <c r="R162" s="310">
        <f t="shared" si="62"/>
        <v>-101.82677398627435</v>
      </c>
      <c r="S162" s="310">
        <f t="shared" si="62"/>
        <v>-102.2111159853095</v>
      </c>
      <c r="T162" s="310">
        <f t="shared" si="62"/>
        <v>-102.54285431981997</v>
      </c>
      <c r="U162" s="310">
        <f t="shared" si="62"/>
        <v>-102.82821984480499</v>
      </c>
      <c r="V162" s="310">
        <f t="shared" si="62"/>
        <v>-103.07275844801269</v>
      </c>
      <c r="W162" s="310">
        <f t="shared" si="62"/>
        <v>-103.28140299018524</v>
      </c>
      <c r="X162" s="310">
        <f t="shared" si="62"/>
        <v>-103.45853791871694</v>
      </c>
      <c r="Y162" s="310">
        <f t="shared" si="62"/>
        <v>-103.60805728453002</v>
      </c>
      <c r="Z162" s="310">
        <f t="shared" si="62"/>
        <v>-103.73341682048085</v>
      </c>
      <c r="AA162" s="310">
        <f t="shared" si="62"/>
        <v>-103.83768067502979</v>
      </c>
      <c r="AB162" s="310">
        <f t="shared" si="62"/>
        <v>-103.92356333657952</v>
      </c>
      <c r="AC162" s="310">
        <f t="shared" si="62"/>
        <v>-103.99346723121184</v>
      </c>
      <c r="AD162" s="310">
        <f t="shared" si="62"/>
        <v>-104.04951642898733</v>
      </c>
      <c r="AE162" s="310">
        <f t="shared" si="62"/>
        <v>-104.09358685102855</v>
      </c>
      <c r="AF162" s="310">
        <f t="shared" si="62"/>
        <v>-104.12733333083909</v>
      </c>
      <c r="AG162" s="310">
        <f t="shared" si="62"/>
        <v>-104.15221384831817</v>
      </c>
      <c r="AH162" s="310">
        <f t="shared" si="62"/>
        <v>-104.16951122334939</v>
      </c>
      <c r="AI162" s="310">
        <f t="shared" si="62"/>
        <v>-104.18035252734437</v>
      </c>
      <c r="AJ162" s="310">
        <f t="shared" si="62"/>
        <v>-104.18572644540957</v>
      </c>
      <c r="AK162" s="310">
        <f t="shared" si="62"/>
        <v>-104.18649879860961</v>
      </c>
      <c r="AL162" s="310">
        <f t="shared" si="62"/>
        <v>-104.18447102534721</v>
      </c>
      <c r="AM162" s="310">
        <f t="shared" si="62"/>
        <v>-104.18034147358136</v>
      </c>
      <c r="AN162" s="310">
        <f t="shared" si="62"/>
        <v>-104.17448943237945</v>
      </c>
      <c r="AO162" s="310">
        <f t="shared" si="62"/>
        <v>-104.16724424526811</v>
      </c>
      <c r="AP162" s="310">
        <f t="shared" si="62"/>
        <v>-104.15889111851152</v>
      </c>
      <c r="AQ162" s="310">
        <f t="shared" si="62"/>
        <v>-104.14967629769531</v>
      </c>
      <c r="AR162" s="310">
        <f t="shared" si="62"/>
        <v>-104.13981167849649</v>
      </c>
      <c r="AS162" s="310">
        <f t="shared" si="62"/>
        <v>-104.12947891084309</v>
      </c>
      <c r="AT162" s="310">
        <f t="shared" si="62"/>
        <v>-104.11883304965389</v>
      </c>
      <c r="AU162" s="310">
        <f t="shared" si="62"/>
        <v>-104.10800579993254</v>
      </c>
      <c r="AV162" s="310">
        <f t="shared" si="62"/>
        <v>-104.09710839911442</v>
      </c>
      <c r="AW162" s="310">
        <f t="shared" si="62"/>
        <v>-104.08623417517413</v>
      </c>
      <c r="AX162" s="310">
        <f t="shared" si="62"/>
        <v>-104.07546081505104</v>
      </c>
      <c r="AY162" s="310">
        <f t="shared" si="62"/>
        <v>-104.06485237439468</v>
      </c>
      <c r="AZ162" s="310">
        <f t="shared" si="62"/>
        <v>-104.05446105643317</v>
      </c>
      <c r="BA162" s="310">
        <f t="shared" si="62"/>
        <v>-104.04432878489146</v>
      </c>
      <c r="BB162" s="310">
        <f t="shared" si="62"/>
        <v>-104.03448859329845</v>
      </c>
      <c r="BC162" s="310">
        <f t="shared" si="62"/>
        <v>-104.02496585069701</v>
      </c>
    </row>
    <row r="163" spans="1:58" s="309" customFormat="1" ht="16.95" customHeight="1" outlineLevel="1" x14ac:dyDescent="0.3">
      <c r="B163" s="314" t="s">
        <v>418</v>
      </c>
      <c r="C163" s="310">
        <f t="shared" ref="C163:AH163" si="63">C63/(1+$C$28)^C32</f>
        <v>40.365271459275199</v>
      </c>
      <c r="D163" s="310">
        <f t="shared" si="63"/>
        <v>42.552814541530068</v>
      </c>
      <c r="E163" s="310">
        <f t="shared" si="63"/>
        <v>46.156354050710419</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95" customHeight="1" outlineLevel="1" x14ac:dyDescent="0.3">
      <c r="B164" s="314" t="s">
        <v>419</v>
      </c>
      <c r="C164" s="315">
        <f t="shared" ref="C164:BC164" si="65">IF(C$32&lt;=3,1,IF(C157&lt;0,1,IF(B164=1,1-(C157/C156),0)))</f>
        <v>1</v>
      </c>
      <c r="D164" s="315">
        <f t="shared" si="65"/>
        <v>1</v>
      </c>
      <c r="E164" s="315">
        <f t="shared" si="65"/>
        <v>1</v>
      </c>
      <c r="F164" s="315">
        <f t="shared" si="65"/>
        <v>1</v>
      </c>
      <c r="G164" s="315">
        <f t="shared" si="65"/>
        <v>1</v>
      </c>
      <c r="H164" s="315">
        <f t="shared" si="65"/>
        <v>1</v>
      </c>
      <c r="I164" s="315">
        <f t="shared" si="65"/>
        <v>1</v>
      </c>
      <c r="J164" s="315">
        <f t="shared" si="65"/>
        <v>1</v>
      </c>
      <c r="K164" s="315">
        <f t="shared" si="65"/>
        <v>1</v>
      </c>
      <c r="L164" s="315">
        <f t="shared" si="65"/>
        <v>1</v>
      </c>
      <c r="M164" s="315">
        <f t="shared" si="65"/>
        <v>1</v>
      </c>
      <c r="N164" s="315">
        <f t="shared" si="65"/>
        <v>1</v>
      </c>
      <c r="O164" s="315">
        <f t="shared" si="65"/>
        <v>1</v>
      </c>
      <c r="P164" s="315">
        <f t="shared" si="65"/>
        <v>1</v>
      </c>
      <c r="Q164" s="315">
        <f t="shared" si="65"/>
        <v>1</v>
      </c>
      <c r="R164" s="315">
        <f t="shared" si="65"/>
        <v>1</v>
      </c>
      <c r="S164" s="315">
        <f t="shared" si="65"/>
        <v>1</v>
      </c>
      <c r="T164" s="315">
        <f t="shared" si="65"/>
        <v>1</v>
      </c>
      <c r="U164" s="315">
        <f t="shared" si="65"/>
        <v>1</v>
      </c>
      <c r="V164" s="315">
        <f t="shared" si="65"/>
        <v>1</v>
      </c>
      <c r="W164" s="315">
        <f t="shared" si="65"/>
        <v>1</v>
      </c>
      <c r="X164" s="315">
        <f t="shared" si="65"/>
        <v>1</v>
      </c>
      <c r="Y164" s="315">
        <f t="shared" si="65"/>
        <v>1</v>
      </c>
      <c r="Z164" s="315">
        <f t="shared" si="65"/>
        <v>1</v>
      </c>
      <c r="AA164" s="315">
        <f t="shared" si="65"/>
        <v>1</v>
      </c>
      <c r="AB164" s="315">
        <f t="shared" si="65"/>
        <v>1</v>
      </c>
      <c r="AC164" s="315">
        <f t="shared" si="65"/>
        <v>1</v>
      </c>
      <c r="AD164" s="315">
        <f t="shared" si="65"/>
        <v>1</v>
      </c>
      <c r="AE164" s="315">
        <f t="shared" si="65"/>
        <v>1</v>
      </c>
      <c r="AF164" s="315">
        <f t="shared" si="65"/>
        <v>1</v>
      </c>
      <c r="AG164" s="315">
        <f t="shared" si="65"/>
        <v>1</v>
      </c>
      <c r="AH164" s="315">
        <f t="shared" si="65"/>
        <v>1</v>
      </c>
      <c r="AI164" s="315">
        <f t="shared" si="65"/>
        <v>1</v>
      </c>
      <c r="AJ164" s="315">
        <f t="shared" si="65"/>
        <v>1</v>
      </c>
      <c r="AK164" s="315">
        <f t="shared" si="65"/>
        <v>1</v>
      </c>
      <c r="AL164" s="315">
        <f t="shared" si="65"/>
        <v>1</v>
      </c>
      <c r="AM164" s="315">
        <f t="shared" si="65"/>
        <v>1</v>
      </c>
      <c r="AN164" s="315">
        <f t="shared" si="65"/>
        <v>1</v>
      </c>
      <c r="AO164" s="315">
        <f t="shared" si="65"/>
        <v>1</v>
      </c>
      <c r="AP164" s="315">
        <f t="shared" si="65"/>
        <v>1</v>
      </c>
      <c r="AQ164" s="315">
        <f t="shared" si="65"/>
        <v>1</v>
      </c>
      <c r="AR164" s="315">
        <f t="shared" si="65"/>
        <v>1</v>
      </c>
      <c r="AS164" s="315">
        <f t="shared" si="65"/>
        <v>1</v>
      </c>
      <c r="AT164" s="315">
        <f t="shared" si="65"/>
        <v>1</v>
      </c>
      <c r="AU164" s="315">
        <f t="shared" si="65"/>
        <v>1</v>
      </c>
      <c r="AV164" s="315">
        <f t="shared" si="65"/>
        <v>1</v>
      </c>
      <c r="AW164" s="315">
        <f t="shared" si="65"/>
        <v>1</v>
      </c>
      <c r="AX164" s="315">
        <f t="shared" si="65"/>
        <v>1</v>
      </c>
      <c r="AY164" s="315">
        <f t="shared" si="65"/>
        <v>1</v>
      </c>
      <c r="AZ164" s="315">
        <f t="shared" si="65"/>
        <v>1</v>
      </c>
      <c r="BA164" s="315">
        <f t="shared" si="65"/>
        <v>1</v>
      </c>
      <c r="BB164" s="315">
        <f t="shared" si="65"/>
        <v>1</v>
      </c>
      <c r="BC164" s="315">
        <f t="shared" si="65"/>
        <v>1</v>
      </c>
    </row>
    <row r="165" spans="1:58" s="309" customFormat="1" ht="16.95" customHeight="1" outlineLevel="1" x14ac:dyDescent="0.3">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t="e">
        <f>IF(AK31=1,IRR($C156:AK156),"-")</f>
        <v>#NUM!</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95" customHeight="1" outlineLevel="1" x14ac:dyDescent="0.3">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95" customHeight="1" outlineLevel="1" x14ac:dyDescent="0.3">
      <c r="B167" s="908" t="s">
        <v>421</v>
      </c>
      <c r="C167" s="310">
        <f>C63*(1-$D$14)</f>
        <v>28.255690021492637</v>
      </c>
      <c r="D167" s="310">
        <f t="shared" ref="D167:BC167" si="66">D63*(1-$D$14)</f>
        <v>32.688221074512562</v>
      </c>
      <c r="E167" s="310">
        <f t="shared" si="66"/>
        <v>38.909840251200038</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95" customHeight="1" outlineLevel="1" x14ac:dyDescent="0.3">
      <c r="B168" s="909" t="s">
        <v>676</v>
      </c>
      <c r="C168" s="310">
        <f>C167</f>
        <v>28.255690021492637</v>
      </c>
      <c r="D168" s="310">
        <f t="shared" ref="D168:BC168" si="67">C173+D167</f>
        <v>60.943911096005195</v>
      </c>
      <c r="E168" s="310">
        <f t="shared" si="67"/>
        <v>99.853751347205232</v>
      </c>
      <c r="F168" s="310">
        <f t="shared" si="67"/>
        <v>99.853751347205232</v>
      </c>
      <c r="G168" s="310">
        <f t="shared" si="67"/>
        <v>94.861063779844969</v>
      </c>
      <c r="H168" s="310">
        <f t="shared" si="67"/>
        <v>89.868376212484705</v>
      </c>
      <c r="I168" s="310">
        <f t="shared" si="67"/>
        <v>84.875688645124441</v>
      </c>
      <c r="J168" s="310">
        <f t="shared" si="67"/>
        <v>79.883001077764177</v>
      </c>
      <c r="K168" s="310">
        <f t="shared" si="67"/>
        <v>74.890313510403914</v>
      </c>
      <c r="L168" s="310">
        <f t="shared" si="67"/>
        <v>69.89762594304365</v>
      </c>
      <c r="M168" s="310">
        <f t="shared" si="67"/>
        <v>64.904938375683386</v>
      </c>
      <c r="N168" s="310">
        <f t="shared" si="67"/>
        <v>59.912250808323122</v>
      </c>
      <c r="O168" s="310">
        <f t="shared" si="67"/>
        <v>54.919563240962859</v>
      </c>
      <c r="P168" s="310">
        <f t="shared" si="67"/>
        <v>49.926875673602595</v>
      </c>
      <c r="Q168" s="310">
        <f t="shared" si="67"/>
        <v>44.934188106242331</v>
      </c>
      <c r="R168" s="310">
        <f t="shared" si="67"/>
        <v>39.941500538882067</v>
      </c>
      <c r="S168" s="310">
        <f t="shared" si="67"/>
        <v>34.948812971521804</v>
      </c>
      <c r="T168" s="310">
        <f t="shared" si="67"/>
        <v>29.95612540416154</v>
      </c>
      <c r="U168" s="310">
        <f t="shared" si="67"/>
        <v>24.963437836801276</v>
      </c>
      <c r="V168" s="310">
        <f t="shared" si="67"/>
        <v>19.970750269441012</v>
      </c>
      <c r="W168" s="310">
        <f t="shared" si="67"/>
        <v>14.97806270208075</v>
      </c>
      <c r="X168" s="310">
        <f t="shared" si="67"/>
        <v>9.9853751347204884</v>
      </c>
      <c r="Y168" s="310">
        <f t="shared" si="67"/>
        <v>4.9926875673602265</v>
      </c>
      <c r="Z168" s="310">
        <f t="shared" si="67"/>
        <v>-3.5527136788005009E-14</v>
      </c>
      <c r="AA168" s="310">
        <f t="shared" si="67"/>
        <v>-3.5527136788005009E-14</v>
      </c>
      <c r="AB168" s="310">
        <f t="shared" si="67"/>
        <v>-3.5527136788005009E-14</v>
      </c>
      <c r="AC168" s="310">
        <f t="shared" si="67"/>
        <v>-3.5527136788005009E-14</v>
      </c>
      <c r="AD168" s="310">
        <f t="shared" si="67"/>
        <v>-3.5527136788005009E-14</v>
      </c>
      <c r="AE168" s="310">
        <f t="shared" si="67"/>
        <v>-3.5527136788005009E-14</v>
      </c>
      <c r="AF168" s="310">
        <f t="shared" si="67"/>
        <v>-3.5527136788005009E-14</v>
      </c>
      <c r="AG168" s="310">
        <f t="shared" si="67"/>
        <v>-3.5527136788005009E-14</v>
      </c>
      <c r="AH168" s="310">
        <f t="shared" si="67"/>
        <v>-3.5527136788005009E-14</v>
      </c>
      <c r="AI168" s="310">
        <f t="shared" si="67"/>
        <v>-3.5527136788005009E-14</v>
      </c>
      <c r="AJ168" s="310">
        <f t="shared" si="67"/>
        <v>-3.5527136788005009E-14</v>
      </c>
      <c r="AK168" s="310">
        <f t="shared" si="67"/>
        <v>-3.5527136788005009E-14</v>
      </c>
      <c r="AL168" s="310">
        <f t="shared" si="67"/>
        <v>-3.5527136788005009E-14</v>
      </c>
      <c r="AM168" s="310">
        <f t="shared" si="67"/>
        <v>-3.5527136788005009E-14</v>
      </c>
      <c r="AN168" s="310">
        <f t="shared" si="67"/>
        <v>-3.5527136788005009E-14</v>
      </c>
      <c r="AO168" s="310">
        <f t="shared" si="67"/>
        <v>-3.5527136788005009E-14</v>
      </c>
      <c r="AP168" s="310">
        <f t="shared" si="67"/>
        <v>-3.5527136788005009E-14</v>
      </c>
      <c r="AQ168" s="310">
        <f t="shared" si="67"/>
        <v>-3.5527136788005009E-14</v>
      </c>
      <c r="AR168" s="310">
        <f t="shared" si="67"/>
        <v>-3.5527136788005009E-14</v>
      </c>
      <c r="AS168" s="310">
        <f t="shared" si="67"/>
        <v>-3.5527136788005009E-14</v>
      </c>
      <c r="AT168" s="310">
        <f t="shared" si="67"/>
        <v>-3.5527136788005009E-14</v>
      </c>
      <c r="AU168" s="310">
        <f t="shared" si="67"/>
        <v>-3.5527136788005009E-14</v>
      </c>
      <c r="AV168" s="310">
        <f t="shared" si="67"/>
        <v>-3.5527136788005009E-14</v>
      </c>
      <c r="AW168" s="310">
        <f t="shared" si="67"/>
        <v>-3.5527136788005009E-14</v>
      </c>
      <c r="AX168" s="310">
        <f t="shared" si="67"/>
        <v>-3.5527136788005009E-14</v>
      </c>
      <c r="AY168" s="310">
        <f t="shared" si="67"/>
        <v>-3.5527136788005009E-14</v>
      </c>
      <c r="AZ168" s="310">
        <f t="shared" si="67"/>
        <v>-3.5527136788005009E-14</v>
      </c>
      <c r="BA168" s="310">
        <f t="shared" si="67"/>
        <v>-3.5527136788005009E-14</v>
      </c>
      <c r="BB168" s="310">
        <f t="shared" si="67"/>
        <v>-3.5527136788005009E-14</v>
      </c>
      <c r="BC168" s="310">
        <f t="shared" si="67"/>
        <v>-3.5527136788005009E-14</v>
      </c>
    </row>
    <row r="169" spans="1:58" s="309" customFormat="1" ht="16.95" customHeight="1" outlineLevel="1" x14ac:dyDescent="0.3">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95" customHeight="1" outlineLevel="1" x14ac:dyDescent="0.3">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95" customHeight="1" outlineLevel="1" x14ac:dyDescent="0.3">
      <c r="B171" s="908" t="s">
        <v>423</v>
      </c>
      <c r="C171" s="310">
        <v>0</v>
      </c>
      <c r="D171" s="310">
        <f t="shared" ref="D171:AI171" si="70">IF(D170=0,0,IF(D170=1,-1*SUM($C167:$BC167)/$C$22,0))</f>
        <v>0</v>
      </c>
      <c r="E171" s="310">
        <f t="shared" si="70"/>
        <v>0</v>
      </c>
      <c r="F171" s="310">
        <f t="shared" si="70"/>
        <v>-4.992687567360262</v>
      </c>
      <c r="G171" s="310">
        <f t="shared" si="70"/>
        <v>-4.992687567360262</v>
      </c>
      <c r="H171" s="310">
        <f t="shared" si="70"/>
        <v>-4.992687567360262</v>
      </c>
      <c r="I171" s="310">
        <f t="shared" si="70"/>
        <v>-4.992687567360262</v>
      </c>
      <c r="J171" s="310">
        <f t="shared" si="70"/>
        <v>-4.992687567360262</v>
      </c>
      <c r="K171" s="310">
        <f t="shared" si="70"/>
        <v>-4.992687567360262</v>
      </c>
      <c r="L171" s="310">
        <f t="shared" si="70"/>
        <v>-4.992687567360262</v>
      </c>
      <c r="M171" s="310">
        <f t="shared" si="70"/>
        <v>-4.992687567360262</v>
      </c>
      <c r="N171" s="310">
        <f t="shared" si="70"/>
        <v>-4.992687567360262</v>
      </c>
      <c r="O171" s="310">
        <f t="shared" si="70"/>
        <v>-4.992687567360262</v>
      </c>
      <c r="P171" s="310">
        <f t="shared" si="70"/>
        <v>-4.992687567360262</v>
      </c>
      <c r="Q171" s="310">
        <f t="shared" si="70"/>
        <v>-4.992687567360262</v>
      </c>
      <c r="R171" s="310">
        <f t="shared" si="70"/>
        <v>-4.992687567360262</v>
      </c>
      <c r="S171" s="310">
        <f t="shared" si="70"/>
        <v>-4.992687567360262</v>
      </c>
      <c r="T171" s="310">
        <f t="shared" si="70"/>
        <v>-4.992687567360262</v>
      </c>
      <c r="U171" s="310">
        <f t="shared" si="70"/>
        <v>-4.992687567360262</v>
      </c>
      <c r="V171" s="310">
        <f t="shared" si="70"/>
        <v>-4.992687567360262</v>
      </c>
      <c r="W171" s="310">
        <f t="shared" si="70"/>
        <v>-4.992687567360262</v>
      </c>
      <c r="X171" s="310">
        <f t="shared" si="70"/>
        <v>-4.992687567360262</v>
      </c>
      <c r="Y171" s="310">
        <f t="shared" si="70"/>
        <v>-4.992687567360262</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95" customHeight="1" outlineLevel="1" x14ac:dyDescent="0.3">
      <c r="B172" s="908" t="s">
        <v>424</v>
      </c>
      <c r="C172" s="310">
        <v>0</v>
      </c>
      <c r="D172" s="310">
        <f t="shared" ref="D172:AI172" si="72">IF(D170=0,-1*$C$24*C173,IF(D170=1,-1*$C$21*C173,0))</f>
        <v>-1.2291225159349295</v>
      </c>
      <c r="E172" s="310">
        <f t="shared" si="72"/>
        <v>-2.6510601326762258</v>
      </c>
      <c r="F172" s="310">
        <f t="shared" si="72"/>
        <v>-4.992687567360262</v>
      </c>
      <c r="G172" s="310">
        <f t="shared" si="72"/>
        <v>-4.7430531889922483</v>
      </c>
      <c r="H172" s="310">
        <f t="shared" si="72"/>
        <v>-4.4934188106242354</v>
      </c>
      <c r="I172" s="310">
        <f t="shared" si="72"/>
        <v>-4.2437844322562226</v>
      </c>
      <c r="J172" s="310">
        <f t="shared" si="72"/>
        <v>-3.9941500538882089</v>
      </c>
      <c r="K172" s="310">
        <f t="shared" si="72"/>
        <v>-3.744515675520196</v>
      </c>
      <c r="L172" s="310">
        <f t="shared" si="72"/>
        <v>-3.4948812971521828</v>
      </c>
      <c r="M172" s="310">
        <f t="shared" si="72"/>
        <v>-3.2452469187841695</v>
      </c>
      <c r="N172" s="310">
        <f t="shared" si="72"/>
        <v>-2.9956125404161562</v>
      </c>
      <c r="O172" s="310">
        <f t="shared" si="72"/>
        <v>-2.7459781620481429</v>
      </c>
      <c r="P172" s="310">
        <f t="shared" si="72"/>
        <v>-2.4963437836801301</v>
      </c>
      <c r="Q172" s="310">
        <f t="shared" si="72"/>
        <v>-2.2467094053121168</v>
      </c>
      <c r="R172" s="310">
        <f t="shared" si="72"/>
        <v>-1.9970750269441035</v>
      </c>
      <c r="S172" s="310">
        <f t="shared" si="72"/>
        <v>-1.7474406485760903</v>
      </c>
      <c r="T172" s="310">
        <f t="shared" si="72"/>
        <v>-1.497806270208077</v>
      </c>
      <c r="U172" s="310">
        <f t="shared" si="72"/>
        <v>-1.2481718918400639</v>
      </c>
      <c r="V172" s="310">
        <f t="shared" si="72"/>
        <v>-0.99853751347205066</v>
      </c>
      <c r="W172" s="310">
        <f t="shared" si="72"/>
        <v>-0.74890313510403761</v>
      </c>
      <c r="X172" s="310">
        <f t="shared" si="72"/>
        <v>-0.49926875673602444</v>
      </c>
      <c r="Y172" s="310">
        <f t="shared" si="72"/>
        <v>-0.24963437836801133</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95" customHeight="1" outlineLevel="1" x14ac:dyDescent="0.3">
      <c r="B173" s="317" t="s">
        <v>678</v>
      </c>
      <c r="C173" s="310">
        <f>C168+C171</f>
        <v>28.255690021492637</v>
      </c>
      <c r="D173" s="310">
        <f t="shared" ref="D173:BC173" si="74">D168+D171</f>
        <v>60.943911096005195</v>
      </c>
      <c r="E173" s="310">
        <f t="shared" si="74"/>
        <v>99.853751347205232</v>
      </c>
      <c r="F173" s="310">
        <f t="shared" si="74"/>
        <v>94.861063779844969</v>
      </c>
      <c r="G173" s="310">
        <f t="shared" si="74"/>
        <v>89.868376212484705</v>
      </c>
      <c r="H173" s="310">
        <f t="shared" si="74"/>
        <v>84.875688645124441</v>
      </c>
      <c r="I173" s="310">
        <f t="shared" si="74"/>
        <v>79.883001077764177</v>
      </c>
      <c r="J173" s="310">
        <f t="shared" si="74"/>
        <v>74.890313510403914</v>
      </c>
      <c r="K173" s="310">
        <f t="shared" si="74"/>
        <v>69.89762594304365</v>
      </c>
      <c r="L173" s="310">
        <f t="shared" si="74"/>
        <v>64.904938375683386</v>
      </c>
      <c r="M173" s="310">
        <f t="shared" si="74"/>
        <v>59.912250808323122</v>
      </c>
      <c r="N173" s="310">
        <f t="shared" si="74"/>
        <v>54.919563240962859</v>
      </c>
      <c r="O173" s="310">
        <f t="shared" si="74"/>
        <v>49.926875673602595</v>
      </c>
      <c r="P173" s="310">
        <f t="shared" si="74"/>
        <v>44.934188106242331</v>
      </c>
      <c r="Q173" s="310">
        <f t="shared" si="74"/>
        <v>39.941500538882067</v>
      </c>
      <c r="R173" s="310">
        <f t="shared" si="74"/>
        <v>34.948812971521804</v>
      </c>
      <c r="S173" s="310">
        <f t="shared" si="74"/>
        <v>29.95612540416154</v>
      </c>
      <c r="T173" s="310">
        <f t="shared" si="74"/>
        <v>24.963437836801276</v>
      </c>
      <c r="U173" s="310">
        <f t="shared" si="74"/>
        <v>19.970750269441012</v>
      </c>
      <c r="V173" s="310">
        <f t="shared" si="74"/>
        <v>14.97806270208075</v>
      </c>
      <c r="W173" s="310">
        <f t="shared" si="74"/>
        <v>9.9853751347204884</v>
      </c>
      <c r="X173" s="310">
        <f t="shared" si="74"/>
        <v>4.9926875673602265</v>
      </c>
      <c r="Y173" s="310">
        <f t="shared" si="74"/>
        <v>-3.5527136788005009E-14</v>
      </c>
      <c r="Z173" s="310">
        <f t="shared" si="74"/>
        <v>-3.5527136788005009E-14</v>
      </c>
      <c r="AA173" s="310">
        <f t="shared" si="74"/>
        <v>-3.5527136788005009E-14</v>
      </c>
      <c r="AB173" s="310">
        <f t="shared" si="74"/>
        <v>-3.5527136788005009E-14</v>
      </c>
      <c r="AC173" s="310">
        <f t="shared" si="74"/>
        <v>-3.5527136788005009E-14</v>
      </c>
      <c r="AD173" s="310">
        <f t="shared" si="74"/>
        <v>-3.5527136788005009E-14</v>
      </c>
      <c r="AE173" s="310">
        <f t="shared" si="74"/>
        <v>-3.5527136788005009E-14</v>
      </c>
      <c r="AF173" s="310">
        <f t="shared" si="74"/>
        <v>-3.5527136788005009E-14</v>
      </c>
      <c r="AG173" s="310">
        <f t="shared" si="74"/>
        <v>-3.5527136788005009E-14</v>
      </c>
      <c r="AH173" s="310">
        <f t="shared" si="74"/>
        <v>-3.5527136788005009E-14</v>
      </c>
      <c r="AI173" s="310">
        <f t="shared" si="74"/>
        <v>-3.5527136788005009E-14</v>
      </c>
      <c r="AJ173" s="310">
        <f t="shared" si="74"/>
        <v>-3.5527136788005009E-14</v>
      </c>
      <c r="AK173" s="310">
        <f t="shared" si="74"/>
        <v>-3.5527136788005009E-14</v>
      </c>
      <c r="AL173" s="310">
        <f t="shared" si="74"/>
        <v>-3.5527136788005009E-14</v>
      </c>
      <c r="AM173" s="310">
        <f t="shared" si="74"/>
        <v>-3.5527136788005009E-14</v>
      </c>
      <c r="AN173" s="310">
        <f t="shared" si="74"/>
        <v>-3.5527136788005009E-14</v>
      </c>
      <c r="AO173" s="310">
        <f t="shared" si="74"/>
        <v>-3.5527136788005009E-14</v>
      </c>
      <c r="AP173" s="310">
        <f t="shared" si="74"/>
        <v>-3.5527136788005009E-14</v>
      </c>
      <c r="AQ173" s="310">
        <f t="shared" si="74"/>
        <v>-3.5527136788005009E-14</v>
      </c>
      <c r="AR173" s="310">
        <f t="shared" si="74"/>
        <v>-3.5527136788005009E-14</v>
      </c>
      <c r="AS173" s="310">
        <f t="shared" si="74"/>
        <v>-3.5527136788005009E-14</v>
      </c>
      <c r="AT173" s="310">
        <f t="shared" si="74"/>
        <v>-3.5527136788005009E-14</v>
      </c>
      <c r="AU173" s="310">
        <f t="shared" si="74"/>
        <v>-3.5527136788005009E-14</v>
      </c>
      <c r="AV173" s="310">
        <f t="shared" si="74"/>
        <v>-3.5527136788005009E-14</v>
      </c>
      <c r="AW173" s="310">
        <f t="shared" si="74"/>
        <v>-3.5527136788005009E-14</v>
      </c>
      <c r="AX173" s="310">
        <f t="shared" si="74"/>
        <v>-3.5527136788005009E-14</v>
      </c>
      <c r="AY173" s="310">
        <f t="shared" si="74"/>
        <v>-3.5527136788005009E-14</v>
      </c>
      <c r="AZ173" s="310">
        <f t="shared" si="74"/>
        <v>-3.5527136788005009E-14</v>
      </c>
      <c r="BA173" s="310">
        <f t="shared" si="74"/>
        <v>-3.5527136788005009E-14</v>
      </c>
      <c r="BB173" s="310">
        <f t="shared" si="74"/>
        <v>-3.5527136788005009E-14</v>
      </c>
      <c r="BC173" s="310">
        <f t="shared" si="74"/>
        <v>-3.5527136788005009E-14</v>
      </c>
    </row>
    <row r="174" spans="1:58" s="309" customFormat="1" ht="16.95" customHeight="1" outlineLevel="1" x14ac:dyDescent="0.3">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95" customHeight="1" outlineLevel="1" x14ac:dyDescent="0.3">
      <c r="B175" s="309" t="s">
        <v>470</v>
      </c>
      <c r="C175" s="310">
        <f>C156+C167+C171+C172-C148+C35*$H$29*(1-0.0925-$C$10)/1000000+C149</f>
        <v>4.1788983463996257</v>
      </c>
      <c r="D175" s="310">
        <f t="shared" ref="D175:BC175" si="75">D156+D167+D171+D172-D148+D35*$H$29*(1-0.0925-$C$10)/1000000+D149</f>
        <v>1.1387730496203869</v>
      </c>
      <c r="E175" s="310">
        <f t="shared" si="75"/>
        <v>-2.8605027300573509</v>
      </c>
      <c r="F175" s="310">
        <f t="shared" si="75"/>
        <v>-11.657942500824424</v>
      </c>
      <c r="G175" s="310">
        <f t="shared" si="75"/>
        <v>-11.318398840731911</v>
      </c>
      <c r="H175" s="310">
        <f t="shared" si="75"/>
        <v>-10.978432607015298</v>
      </c>
      <c r="I175" s="310">
        <f t="shared" si="75"/>
        <v>-10.638041813578548</v>
      </c>
      <c r="J175" s="310">
        <f t="shared" si="75"/>
        <v>-10.29722446499097</v>
      </c>
      <c r="K175" s="310">
        <f t="shared" si="75"/>
        <v>-9.9559785564433678</v>
      </c>
      <c r="L175" s="310">
        <f t="shared" si="75"/>
        <v>-9.6143020737039215</v>
      </c>
      <c r="M175" s="310">
        <f t="shared" si="75"/>
        <v>-9.2721929930739222</v>
      </c>
      <c r="N175" s="310">
        <f t="shared" si="75"/>
        <v>-8.9296492813432948</v>
      </c>
      <c r="O175" s="310">
        <f t="shared" si="75"/>
        <v>-8.5866688957458646</v>
      </c>
      <c r="P175" s="310">
        <f t="shared" si="75"/>
        <v>-8.2432497839144538</v>
      </c>
      <c r="Q175" s="310">
        <f t="shared" si="75"/>
        <v>-7.8993898838357683</v>
      </c>
      <c r="R175" s="310">
        <f t="shared" si="75"/>
        <v>-7.5550871238050394</v>
      </c>
      <c r="S175" s="310">
        <f t="shared" si="75"/>
        <v>-7.2103394223804962</v>
      </c>
      <c r="T175" s="310">
        <f t="shared" si="75"/>
        <v>-6.8651446883375877</v>
      </c>
      <c r="U175" s="310">
        <f t="shared" si="75"/>
        <v>-6.519500820623005</v>
      </c>
      <c r="V175" s="310">
        <f t="shared" si="75"/>
        <v>-6.1734057083084961</v>
      </c>
      <c r="W175" s="310">
        <f t="shared" si="75"/>
        <v>-5.8268572305444426</v>
      </c>
      <c r="X175" s="310">
        <f t="shared" si="75"/>
        <v>-5.4798532565132225</v>
      </c>
      <c r="Y175" s="310">
        <f t="shared" si="75"/>
        <v>-5.1323916453823841</v>
      </c>
      <c r="Z175" s="310">
        <f t="shared" si="75"/>
        <v>0.20821732110269542</v>
      </c>
      <c r="AA175" s="310">
        <f t="shared" si="75"/>
        <v>0.30696629085706384</v>
      </c>
      <c r="AB175" s="310">
        <f t="shared" si="75"/>
        <v>0.40617938076926974</v>
      </c>
      <c r="AC175" s="310">
        <f t="shared" si="75"/>
        <v>0.50585877220407172</v>
      </c>
      <c r="AD175" s="310">
        <f t="shared" si="75"/>
        <v>0.60600665677861443</v>
      </c>
      <c r="AE175" s="310">
        <f t="shared" si="75"/>
        <v>0.70662523641065267</v>
      </c>
      <c r="AF175" s="310">
        <f t="shared" si="75"/>
        <v>0.80771672336696909</v>
      </c>
      <c r="AG175" s="310">
        <f t="shared" si="75"/>
        <v>0.90928334031197622</v>
      </c>
      <c r="AH175" s="310">
        <f t="shared" si="75"/>
        <v>1.0113273203566222</v>
      </c>
      <c r="AI175" s="310">
        <f t="shared" si="75"/>
        <v>1.1138509071074849</v>
      </c>
      <c r="AJ175" s="310">
        <f t="shared" si="75"/>
        <v>1.2168563547160711</v>
      </c>
      <c r="AK175" s="310">
        <f t="shared" si="75"/>
        <v>1.3203459279284178</v>
      </c>
      <c r="AL175" s="310">
        <f t="shared" si="75"/>
        <v>1.3972992588151509</v>
      </c>
      <c r="AM175" s="310">
        <f t="shared" si="75"/>
        <v>1.4683949952394082</v>
      </c>
      <c r="AN175" s="310">
        <f t="shared" si="75"/>
        <v>1.5398248816248525</v>
      </c>
      <c r="AO175" s="310">
        <f t="shared" si="75"/>
        <v>1.6115904884763035</v>
      </c>
      <c r="AP175" s="310">
        <f t="shared" si="75"/>
        <v>1.6836933936799618</v>
      </c>
      <c r="AQ175" s="310">
        <f t="shared" si="75"/>
        <v>1.7561351825380824</v>
      </c>
      <c r="AR175" s="310">
        <f t="shared" si="75"/>
        <v>1.8289174478038364</v>
      </c>
      <c r="AS175" s="310">
        <f t="shared" si="75"/>
        <v>1.902041789716324</v>
      </c>
      <c r="AT175" s="310">
        <f t="shared" si="75"/>
        <v>1.9755098160358147</v>
      </c>
      <c r="AU175" s="310">
        <f t="shared" si="75"/>
        <v>2.049323142079003</v>
      </c>
      <c r="AV175" s="310">
        <f t="shared" si="75"/>
        <v>2.1234833907545938</v>
      </c>
      <c r="AW175" s="310">
        <f t="shared" si="75"/>
        <v>2.1979921925989672</v>
      </c>
      <c r="AX175" s="310">
        <f t="shared" si="75"/>
        <v>2.2728511858119984</v>
      </c>
      <c r="AY175" s="310">
        <f t="shared" si="75"/>
        <v>2.3480620162931354</v>
      </c>
      <c r="AZ175" s="310">
        <f t="shared" si="75"/>
        <v>2.4236263376775291</v>
      </c>
      <c r="BA175" s="310">
        <f t="shared" si="75"/>
        <v>2.4995458113724318</v>
      </c>
      <c r="BB175" s="310">
        <f t="shared" si="75"/>
        <v>2.5758221065937041</v>
      </c>
      <c r="BC175" s="310">
        <f t="shared" si="75"/>
        <v>2.6524569004025156</v>
      </c>
    </row>
    <row r="176" spans="1:58" s="309" customFormat="1" ht="16.95" customHeight="1" outlineLevel="1" x14ac:dyDescent="0.3">
      <c r="B176" s="309" t="s">
        <v>471</v>
      </c>
      <c r="C176" s="310">
        <f>C175</f>
        <v>4.1788983463996257</v>
      </c>
      <c r="D176" s="310">
        <f t="shared" ref="D176:BC176" si="76">C176+D175</f>
        <v>5.3176713960200122</v>
      </c>
      <c r="E176" s="310">
        <f t="shared" si="76"/>
        <v>2.4571686659626613</v>
      </c>
      <c r="F176" s="310">
        <f t="shared" si="76"/>
        <v>-9.2007738348617636</v>
      </c>
      <c r="G176" s="310">
        <f t="shared" si="76"/>
        <v>-20.519172675593673</v>
      </c>
      <c r="H176" s="310">
        <f t="shared" si="76"/>
        <v>-31.497605282608973</v>
      </c>
      <c r="I176" s="310">
        <f t="shared" si="76"/>
        <v>-42.135647096187519</v>
      </c>
      <c r="J176" s="310">
        <f t="shared" si="76"/>
        <v>-52.432871561178487</v>
      </c>
      <c r="K176" s="310">
        <f t="shared" si="76"/>
        <v>-62.388850117621857</v>
      </c>
      <c r="L176" s="310">
        <f t="shared" si="76"/>
        <v>-72.003152191325782</v>
      </c>
      <c r="M176" s="310">
        <f t="shared" si="76"/>
        <v>-81.275345184399697</v>
      </c>
      <c r="N176" s="310">
        <f t="shared" si="76"/>
        <v>-90.204994465742999</v>
      </c>
      <c r="O176" s="310">
        <f t="shared" si="76"/>
        <v>-98.791663361488858</v>
      </c>
      <c r="P176" s="310">
        <f t="shared" si="76"/>
        <v>-107.03491314540331</v>
      </c>
      <c r="Q176" s="310">
        <f t="shared" si="76"/>
        <v>-114.93430302923908</v>
      </c>
      <c r="R176" s="310">
        <f t="shared" si="76"/>
        <v>-122.48939015304411</v>
      </c>
      <c r="S176" s="310">
        <f t="shared" si="76"/>
        <v>-129.69972957542461</v>
      </c>
      <c r="T176" s="310">
        <f t="shared" si="76"/>
        <v>-136.56487426376219</v>
      </c>
      <c r="U176" s="310">
        <f t="shared" si="76"/>
        <v>-143.08437508438519</v>
      </c>
      <c r="V176" s="310">
        <f t="shared" si="76"/>
        <v>-149.25778079269369</v>
      </c>
      <c r="W176" s="310">
        <f t="shared" si="76"/>
        <v>-155.08463802323814</v>
      </c>
      <c r="X176" s="310">
        <f t="shared" si="76"/>
        <v>-160.56449127975137</v>
      </c>
      <c r="Y176" s="310">
        <f t="shared" si="76"/>
        <v>-165.69688292513376</v>
      </c>
      <c r="Z176" s="310">
        <f t="shared" si="76"/>
        <v>-165.48866560403107</v>
      </c>
      <c r="AA176" s="310">
        <f t="shared" si="76"/>
        <v>-165.18169931317399</v>
      </c>
      <c r="AB176" s="310">
        <f t="shared" si="76"/>
        <v>-164.77551993240473</v>
      </c>
      <c r="AC176" s="310">
        <f t="shared" si="76"/>
        <v>-164.26966116020066</v>
      </c>
      <c r="AD176" s="310">
        <f t="shared" si="76"/>
        <v>-163.66365450342204</v>
      </c>
      <c r="AE176" s="310">
        <f t="shared" si="76"/>
        <v>-162.95702926701139</v>
      </c>
      <c r="AF176" s="310">
        <f t="shared" si="76"/>
        <v>-162.14931254364441</v>
      </c>
      <c r="AG176" s="310">
        <f t="shared" si="76"/>
        <v>-161.24002920333243</v>
      </c>
      <c r="AH176" s="310">
        <f t="shared" si="76"/>
        <v>-160.2287018829758</v>
      </c>
      <c r="AI176" s="310">
        <f t="shared" si="76"/>
        <v>-159.11485097586831</v>
      </c>
      <c r="AJ176" s="310">
        <f t="shared" si="76"/>
        <v>-157.89799462115224</v>
      </c>
      <c r="AK176" s="310">
        <f t="shared" si="76"/>
        <v>-156.57764869322381</v>
      </c>
      <c r="AL176" s="310">
        <f t="shared" si="76"/>
        <v>-155.18034943440867</v>
      </c>
      <c r="AM176" s="310">
        <f t="shared" si="76"/>
        <v>-153.71195443916926</v>
      </c>
      <c r="AN176" s="310">
        <f t="shared" si="76"/>
        <v>-152.17212955754439</v>
      </c>
      <c r="AO176" s="310">
        <f t="shared" si="76"/>
        <v>-150.56053906906808</v>
      </c>
      <c r="AP176" s="310">
        <f t="shared" si="76"/>
        <v>-148.87684567538813</v>
      </c>
      <c r="AQ176" s="310">
        <f t="shared" si="76"/>
        <v>-147.12071049285004</v>
      </c>
      <c r="AR176" s="310">
        <f t="shared" si="76"/>
        <v>-145.29179304504621</v>
      </c>
      <c r="AS176" s="310">
        <f t="shared" si="76"/>
        <v>-143.38975125532988</v>
      </c>
      <c r="AT176" s="310">
        <f t="shared" si="76"/>
        <v>-141.41424143929407</v>
      </c>
      <c r="AU176" s="310">
        <f t="shared" si="76"/>
        <v>-139.36491829721507</v>
      </c>
      <c r="AV176" s="310">
        <f t="shared" si="76"/>
        <v>-137.24143490646048</v>
      </c>
      <c r="AW176" s="310">
        <f t="shared" si="76"/>
        <v>-135.04344271386151</v>
      </c>
      <c r="AX176" s="310">
        <f t="shared" si="76"/>
        <v>-132.77059152804952</v>
      </c>
      <c r="AY176" s="310">
        <f t="shared" si="76"/>
        <v>-130.42252951175638</v>
      </c>
      <c r="AZ176" s="310">
        <f t="shared" si="76"/>
        <v>-127.99890317407885</v>
      </c>
      <c r="BA176" s="310">
        <f t="shared" si="76"/>
        <v>-125.49935736270642</v>
      </c>
      <c r="BB176" s="310">
        <f t="shared" si="76"/>
        <v>-122.92353525611271</v>
      </c>
      <c r="BC176" s="310">
        <f t="shared" si="76"/>
        <v>-120.2710783557102</v>
      </c>
    </row>
    <row r="177" spans="2:55" s="309" customFormat="1" ht="16.95" customHeight="1" outlineLevel="1" x14ac:dyDescent="0.3">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95" customHeight="1" outlineLevel="1" x14ac:dyDescent="0.3">
      <c r="B178" s="311" t="s">
        <v>468</v>
      </c>
      <c r="C178" s="312">
        <f>NPV($D$28,C175)</f>
        <v>3.9401266701863338</v>
      </c>
      <c r="D178" s="312">
        <f t="shared" ref="D178:BC178" si="77">NPV($D$28,D175)</f>
        <v>1.0737064393931615</v>
      </c>
      <c r="E178" s="312">
        <f t="shared" si="77"/>
        <v>-2.6970608429731766</v>
      </c>
      <c r="F178" s="312">
        <f t="shared" si="77"/>
        <v>-10.991837168418277</v>
      </c>
      <c r="G178" s="312">
        <f t="shared" si="77"/>
        <v>-10.671694173799652</v>
      </c>
      <c r="H178" s="312">
        <f t="shared" si="77"/>
        <v>-10.351152750344426</v>
      </c>
      <c r="I178" s="312">
        <f t="shared" si="77"/>
        <v>-10.030211025437062</v>
      </c>
      <c r="J178" s="312">
        <f t="shared" si="77"/>
        <v>-9.7088671176607306</v>
      </c>
      <c r="K178" s="312">
        <f t="shared" si="77"/>
        <v>-9.3871191367559561</v>
      </c>
      <c r="L178" s="312">
        <f t="shared" si="77"/>
        <v>-9.0649651835790319</v>
      </c>
      <c r="M178" s="312">
        <f t="shared" si="77"/>
        <v>-8.74240335006027</v>
      </c>
      <c r="N178" s="312">
        <f t="shared" si="77"/>
        <v>-8.4194317191620733</v>
      </c>
      <c r="O178" s="312">
        <f t="shared" si="77"/>
        <v>-8.0960483648367578</v>
      </c>
      <c r="P178" s="312">
        <f t="shared" si="77"/>
        <v>-7.7722513519842105</v>
      </c>
      <c r="Q178" s="312">
        <f t="shared" si="77"/>
        <v>-7.4480387364093614</v>
      </c>
      <c r="R178" s="312">
        <f t="shared" si="77"/>
        <v>-7.1234085647794076</v>
      </c>
      <c r="S178" s="312">
        <f t="shared" si="77"/>
        <v>-6.7983588745808943</v>
      </c>
      <c r="T178" s="312">
        <f t="shared" si="77"/>
        <v>-6.4728876940765492</v>
      </c>
      <c r="U178" s="312">
        <f t="shared" si="77"/>
        <v>-6.1469930422619319</v>
      </c>
      <c r="V178" s="312">
        <f t="shared" si="77"/>
        <v>-5.8206729288218897</v>
      </c>
      <c r="W178" s="312">
        <f t="shared" si="77"/>
        <v>-5.4939253540867838</v>
      </c>
      <c r="X178" s="312">
        <f t="shared" si="77"/>
        <v>-5.1667483089885184</v>
      </c>
      <c r="Y178" s="312">
        <f t="shared" si="77"/>
        <v>-4.8391397750163909</v>
      </c>
      <c r="Z178" s="312">
        <f t="shared" si="77"/>
        <v>0.19632031029860025</v>
      </c>
      <c r="AA178" s="312">
        <f t="shared" si="77"/>
        <v>0.28942701381959629</v>
      </c>
      <c r="AB178" s="312">
        <f t="shared" si="77"/>
        <v>0.38297131884713348</v>
      </c>
      <c r="AC178" s="312">
        <f t="shared" si="77"/>
        <v>0.47695528210830823</v>
      </c>
      <c r="AD178" s="312">
        <f t="shared" si="77"/>
        <v>0.57138096999680787</v>
      </c>
      <c r="AE178" s="312">
        <f t="shared" si="77"/>
        <v>0.66625045861837895</v>
      </c>
      <c r="AF178" s="312">
        <f t="shared" si="77"/>
        <v>0.76156583383647847</v>
      </c>
      <c r="AG178" s="312">
        <f t="shared" si="77"/>
        <v>0.85732919131809937</v>
      </c>
      <c r="AH178" s="312">
        <f t="shared" si="77"/>
        <v>0.95354263657988136</v>
      </c>
      <c r="AI178" s="312">
        <f t="shared" si="77"/>
        <v>1.0502082850344003</v>
      </c>
      <c r="AJ178" s="312">
        <f t="shared" si="77"/>
        <v>1.1473282620366501</v>
      </c>
      <c r="AK178" s="312">
        <f t="shared" si="77"/>
        <v>1.2449047029308107</v>
      </c>
      <c r="AL178" s="312">
        <f t="shared" si="77"/>
        <v>1.3174611152320865</v>
      </c>
      <c r="AM178" s="312">
        <f t="shared" si="77"/>
        <v>1.3844946211949918</v>
      </c>
      <c r="AN178" s="312">
        <f t="shared" si="77"/>
        <v>1.4518431846359161</v>
      </c>
      <c r="AO178" s="312">
        <f t="shared" si="77"/>
        <v>1.519508286325008</v>
      </c>
      <c r="AP178" s="312">
        <f t="shared" si="77"/>
        <v>1.587491413992044</v>
      </c>
      <c r="AQ178" s="312">
        <f t="shared" si="77"/>
        <v>1.6557940623591199</v>
      </c>
      <c r="AR178" s="312">
        <f t="shared" si="77"/>
        <v>1.7244177331735211</v>
      </c>
      <c r="AS178" s="312">
        <f t="shared" si="77"/>
        <v>1.7933639352407353</v>
      </c>
      <c r="AT178" s="312">
        <f t="shared" si="77"/>
        <v>1.8626341844576793</v>
      </c>
      <c r="AU178" s="312">
        <f t="shared" si="77"/>
        <v>1.9322300038459392</v>
      </c>
      <c r="AV178" s="312">
        <f t="shared" si="77"/>
        <v>2.002152923585323</v>
      </c>
      <c r="AW178" s="312">
        <f t="shared" si="77"/>
        <v>2.0724044810474895</v>
      </c>
      <c r="AX178" s="312">
        <f t="shared" si="77"/>
        <v>2.1429862208297177</v>
      </c>
      <c r="AY178" s="312">
        <f t="shared" si="77"/>
        <v>2.2138996947889265</v>
      </c>
      <c r="AZ178" s="312">
        <f t="shared" si="77"/>
        <v>2.2851464620757391</v>
      </c>
      <c r="BA178" s="312">
        <f t="shared" si="77"/>
        <v>2.3567280891688025</v>
      </c>
      <c r="BB178" s="312">
        <f t="shared" si="77"/>
        <v>2.4286461499092065</v>
      </c>
      <c r="BC178" s="312">
        <f t="shared" si="77"/>
        <v>2.5009022255350892</v>
      </c>
    </row>
    <row r="179" spans="2:55" s="309" customFormat="1" ht="16.95" customHeight="1" outlineLevel="1" x14ac:dyDescent="0.3">
      <c r="B179" s="313" t="s">
        <v>469</v>
      </c>
      <c r="C179" s="312">
        <f>C178</f>
        <v>3.9401266701863338</v>
      </c>
      <c r="D179" s="312">
        <f t="shared" ref="D179" si="78">C179+D178</f>
        <v>5.0138331095794957</v>
      </c>
      <c r="E179" s="312">
        <f t="shared" ref="E179" si="79">D179+E178</f>
        <v>2.3167722666063191</v>
      </c>
      <c r="F179" s="312">
        <f t="shared" ref="F179" si="80">E179+F178</f>
        <v>-8.6750649018119574</v>
      </c>
      <c r="G179" s="312">
        <f t="shared" ref="G179" si="81">F179+G178</f>
        <v>-19.346759075611608</v>
      </c>
      <c r="H179" s="312">
        <f t="shared" ref="H179" si="82">G179+H178</f>
        <v>-29.697911825956034</v>
      </c>
      <c r="I179" s="312">
        <f t="shared" ref="I179" si="83">H179+I178</f>
        <v>-39.728122851393096</v>
      </c>
      <c r="J179" s="312">
        <f t="shared" ref="J179" si="84">I179+J178</f>
        <v>-49.436989969053826</v>
      </c>
      <c r="K179" s="312">
        <f t="shared" ref="K179" si="85">J179+K178</f>
        <v>-58.824109105809782</v>
      </c>
      <c r="L179" s="312">
        <f t="shared" ref="L179" si="86">K179+L178</f>
        <v>-67.889074289388816</v>
      </c>
      <c r="M179" s="312">
        <f t="shared" ref="M179" si="87">L179+M178</f>
        <v>-76.631477639449088</v>
      </c>
      <c r="N179" s="312">
        <f t="shared" ref="N179" si="88">M179+N178</f>
        <v>-85.050909358611165</v>
      </c>
      <c r="O179" s="312">
        <f t="shared" ref="O179" si="89">N179+O178</f>
        <v>-93.146957723447926</v>
      </c>
      <c r="P179" s="312">
        <f t="shared" ref="P179" si="90">O179+P178</f>
        <v>-100.91920907543214</v>
      </c>
      <c r="Q179" s="312">
        <f t="shared" ref="Q179" si="91">P179+Q178</f>
        <v>-108.36724781184149</v>
      </c>
      <c r="R179" s="312">
        <f t="shared" ref="R179" si="92">Q179+R178</f>
        <v>-115.4906563766209</v>
      </c>
      <c r="S179" s="312">
        <f t="shared" ref="S179" si="93">R179+S178</f>
        <v>-122.2890152512018</v>
      </c>
      <c r="T179" s="312">
        <f t="shared" ref="T179" si="94">S179+T178</f>
        <v>-128.76190294527836</v>
      </c>
      <c r="U179" s="312">
        <f t="shared" ref="U179" si="95">T179+U178</f>
        <v>-134.90889598754029</v>
      </c>
      <c r="V179" s="312">
        <f t="shared" ref="V179" si="96">U179+V178</f>
        <v>-140.72956891636218</v>
      </c>
      <c r="W179" s="312">
        <f t="shared" ref="W179" si="97">V179+W178</f>
        <v>-146.22349427044895</v>
      </c>
      <c r="X179" s="312">
        <f t="shared" ref="X179" si="98">W179+X178</f>
        <v>-151.39024257943748</v>
      </c>
      <c r="Y179" s="312">
        <f t="shared" ref="Y179" si="99">X179+Y178</f>
        <v>-156.22938235445386</v>
      </c>
      <c r="Z179" s="312">
        <f t="shared" ref="Z179" si="100">Y179+Z178</f>
        <v>-156.03306204415526</v>
      </c>
      <c r="AA179" s="312">
        <f t="shared" ref="AA179" si="101">Z179+AA178</f>
        <v>-155.74363503033567</v>
      </c>
      <c r="AB179" s="312">
        <f t="shared" ref="AB179" si="102">AA179+AB178</f>
        <v>-155.36066371148854</v>
      </c>
      <c r="AC179" s="312">
        <f t="shared" ref="AC179" si="103">AB179+AC178</f>
        <v>-154.88370842938022</v>
      </c>
      <c r="AD179" s="312">
        <f t="shared" ref="AD179" si="104">AC179+AD178</f>
        <v>-154.31232745938343</v>
      </c>
      <c r="AE179" s="312">
        <f t="shared" ref="AE179" si="105">AD179+AE178</f>
        <v>-153.64607700076505</v>
      </c>
      <c r="AF179" s="312">
        <f t="shared" ref="AF179" si="106">AE179+AF178</f>
        <v>-152.88451116692858</v>
      </c>
      <c r="AG179" s="312">
        <f t="shared" ref="AG179" si="107">AF179+AG178</f>
        <v>-152.02718197561049</v>
      </c>
      <c r="AH179" s="312">
        <f t="shared" ref="AH179" si="108">AG179+AH178</f>
        <v>-151.07363933903062</v>
      </c>
      <c r="AI179" s="312">
        <f t="shared" ref="AI179" si="109">AH179+AI178</f>
        <v>-150.02343105399623</v>
      </c>
      <c r="AJ179" s="312">
        <f t="shared" ref="AJ179" si="110">AI179+AJ178</f>
        <v>-148.8761027919596</v>
      </c>
      <c r="AK179" s="312">
        <f t="shared" ref="AK179" si="111">AJ179+AK178</f>
        <v>-147.63119808902877</v>
      </c>
      <c r="AL179" s="312">
        <f t="shared" ref="AL179" si="112">AK179+AL178</f>
        <v>-146.31373697379669</v>
      </c>
      <c r="AM179" s="312">
        <f t="shared" ref="AM179" si="113">AL179+AM178</f>
        <v>-144.9292423526017</v>
      </c>
      <c r="AN179" s="312">
        <f t="shared" ref="AN179" si="114">AM179+AN178</f>
        <v>-143.47739916796579</v>
      </c>
      <c r="AO179" s="312">
        <f t="shared" ref="AO179" si="115">AN179+AO178</f>
        <v>-141.95789088164076</v>
      </c>
      <c r="AP179" s="312">
        <f t="shared" ref="AP179" si="116">AO179+AP178</f>
        <v>-140.37039946764872</v>
      </c>
      <c r="AQ179" s="312">
        <f t="shared" ref="AQ179" si="117">AP179+AQ178</f>
        <v>-138.7146054052896</v>
      </c>
      <c r="AR179" s="312">
        <f t="shared" ref="AR179" si="118">AQ179+AR178</f>
        <v>-136.99018767211609</v>
      </c>
      <c r="AS179" s="312">
        <f t="shared" ref="AS179" si="119">AR179+AS178</f>
        <v>-135.19682373687536</v>
      </c>
      <c r="AT179" s="312">
        <f t="shared" ref="AT179" si="120">AS179+AT178</f>
        <v>-133.33418955241768</v>
      </c>
      <c r="AU179" s="312">
        <f t="shared" ref="AU179" si="121">AT179+AU178</f>
        <v>-131.40195954857174</v>
      </c>
      <c r="AV179" s="312">
        <f t="shared" ref="AV179" si="122">AU179+AV178</f>
        <v>-129.39980662498641</v>
      </c>
      <c r="AW179" s="312">
        <f t="shared" ref="AW179" si="123">AV179+AW178</f>
        <v>-127.32740214393893</v>
      </c>
      <c r="AX179" s="312">
        <f t="shared" ref="AX179" si="124">AW179+AX178</f>
        <v>-125.18441592310921</v>
      </c>
      <c r="AY179" s="312">
        <f t="shared" ref="AY179" si="125">AX179+AY178</f>
        <v>-122.97051622832029</v>
      </c>
      <c r="AZ179" s="312">
        <f t="shared" ref="AZ179" si="126">AY179+AZ178</f>
        <v>-120.68536976624455</v>
      </c>
      <c r="BA179" s="312">
        <f t="shared" ref="BA179" si="127">AZ179+BA178</f>
        <v>-118.32864167707575</v>
      </c>
      <c r="BB179" s="312">
        <f t="shared" ref="BB179" si="128">BA179+BB178</f>
        <v>-115.89999552716654</v>
      </c>
      <c r="BC179" s="312">
        <f t="shared" ref="BC179" si="129">BB179+BC178</f>
        <v>-113.39909330163145</v>
      </c>
    </row>
    <row r="180" spans="2:55" s="206" customFormat="1" ht="16.95" customHeight="1" outlineLevel="1" x14ac:dyDescent="0.3">
      <c r="B180" s="206" t="s">
        <v>416</v>
      </c>
      <c r="C180" s="307">
        <f>C175/(1+$D$28)^C32</f>
        <v>4.1788983463996257</v>
      </c>
      <c r="D180" s="307">
        <f t="shared" ref="D180:BC180" si="130">D175/(1+$D$28)^D32</f>
        <v>1.0737064393931615</v>
      </c>
      <c r="E180" s="307">
        <f t="shared" si="130"/>
        <v>-2.542957611703919</v>
      </c>
      <c r="F180" s="307">
        <f t="shared" si="130"/>
        <v>-9.7716305949754858</v>
      </c>
      <c r="G180" s="307">
        <f t="shared" si="130"/>
        <v>-8.9449620532566421</v>
      </c>
      <c r="H180" s="307">
        <f t="shared" si="130"/>
        <v>-8.1805447804228972</v>
      </c>
      <c r="I180" s="307">
        <f t="shared" si="130"/>
        <v>-7.4739804294328103</v>
      </c>
      <c r="J180" s="307">
        <f t="shared" si="130"/>
        <v>-6.8211691682522311</v>
      </c>
      <c r="K180" s="307">
        <f t="shared" si="130"/>
        <v>-6.2182899724140741</v>
      </c>
      <c r="L180" s="307">
        <f t="shared" si="130"/>
        <v>-5.6617821926556138</v>
      </c>
      <c r="M180" s="307">
        <f t="shared" si="130"/>
        <v>-5.1483283163907307</v>
      </c>
      <c r="N180" s="307">
        <f t="shared" si="130"/>
        <v>-4.6748378468889378</v>
      </c>
      <c r="O180" s="307">
        <f t="shared" si="130"/>
        <v>-4.2384322288286675</v>
      </c>
      <c r="P180" s="307">
        <f t="shared" si="130"/>
        <v>-3.8364307533888682</v>
      </c>
      <c r="Q180" s="307">
        <f t="shared" si="130"/>
        <v>-3.4663373802587381</v>
      </c>
      <c r="R180" s="307">
        <f t="shared" si="130"/>
        <v>-3.125828417898036</v>
      </c>
      <c r="S180" s="307">
        <f t="shared" si="130"/>
        <v>-2.8127410070860543</v>
      </c>
      <c r="T180" s="307">
        <f t="shared" si="130"/>
        <v>-2.5250623562712806</v>
      </c>
      <c r="U180" s="307">
        <f t="shared" si="130"/>
        <v>-2.2609196804904723</v>
      </c>
      <c r="V180" s="307">
        <f t="shared" si="130"/>
        <v>-2.0185707986787174</v>
      </c>
      <c r="W180" s="307">
        <f t="shared" si="130"/>
        <v>-1.7963953470537126</v>
      </c>
      <c r="X180" s="307">
        <f t="shared" si="130"/>
        <v>-1.5928865689399048</v>
      </c>
      <c r="Y180" s="307">
        <f t="shared" si="130"/>
        <v>-1.4066436439123071</v>
      </c>
      <c r="Z180" s="307">
        <f t="shared" si="130"/>
        <v>5.3805854216303357E-2</v>
      </c>
      <c r="AA180" s="307">
        <f t="shared" si="130"/>
        <v>7.4791413266509565E-2</v>
      </c>
      <c r="AB180" s="307">
        <f t="shared" si="130"/>
        <v>9.3309809676963881E-2</v>
      </c>
      <c r="AC180" s="307">
        <f t="shared" si="130"/>
        <v>0.10956884742317756</v>
      </c>
      <c r="AD180" s="307">
        <f t="shared" si="130"/>
        <v>0.12376093439935706</v>
      </c>
      <c r="AE180" s="307">
        <f t="shared" si="130"/>
        <v>0.13606414777838552</v>
      </c>
      <c r="AF180" s="307">
        <f t="shared" si="130"/>
        <v>0.1466432287140628</v>
      </c>
      <c r="AG180" s="307">
        <f t="shared" si="130"/>
        <v>0.15565051093857768</v>
      </c>
      <c r="AH180" s="307">
        <f t="shared" si="130"/>
        <v>0.16322678752087785</v>
      </c>
      <c r="AI180" s="307">
        <f t="shared" si="130"/>
        <v>0.16950211978207746</v>
      </c>
      <c r="AJ180" s="307">
        <f t="shared" si="130"/>
        <v>0.17459659211134668</v>
      </c>
      <c r="AK180" s="307">
        <f t="shared" si="130"/>
        <v>0.17862101618873791</v>
      </c>
      <c r="AL180" s="307">
        <f t="shared" si="130"/>
        <v>0.17823074863503605</v>
      </c>
      <c r="AM180" s="307">
        <f t="shared" si="130"/>
        <v>0.17659746919640204</v>
      </c>
      <c r="AN180" s="307">
        <f t="shared" si="130"/>
        <v>0.17460685504103418</v>
      </c>
      <c r="AO180" s="307">
        <f t="shared" si="130"/>
        <v>0.17230307566145694</v>
      </c>
      <c r="AP180" s="307">
        <f t="shared" si="130"/>
        <v>0.16972652492854817</v>
      </c>
      <c r="AQ180" s="307">
        <f t="shared" si="130"/>
        <v>0.16691410280306418</v>
      </c>
      <c r="AR180" s="307">
        <f t="shared" si="130"/>
        <v>0.1638994774732328</v>
      </c>
      <c r="AS180" s="307">
        <f t="shared" si="130"/>
        <v>0.16071332922010767</v>
      </c>
      <c r="AT180" s="307">
        <f t="shared" si="130"/>
        <v>0.15738357722835297</v>
      </c>
      <c r="AU180" s="307">
        <f t="shared" si="130"/>
        <v>0.15393559048137626</v>
      </c>
      <c r="AV180" s="307">
        <f t="shared" si="130"/>
        <v>0.15039238380602793</v>
      </c>
      <c r="AW180" s="307">
        <f t="shared" si="130"/>
        <v>0.14677480006296204</v>
      </c>
      <c r="AX180" s="307">
        <f t="shared" si="130"/>
        <v>0.14310167941408736</v>
      </c>
      <c r="AY180" s="307">
        <f t="shared" si="130"/>
        <v>0.13939001653794872</v>
      </c>
      <c r="AZ180" s="307">
        <f t="shared" si="130"/>
        <v>0.1356551066071191</v>
      </c>
      <c r="BA180" s="307">
        <f t="shared" si="130"/>
        <v>0.13191068078858423</v>
      </c>
      <c r="BB180" s="307">
        <f t="shared" si="130"/>
        <v>0.1281690319783314</v>
      </c>
      <c r="BC180" s="307">
        <f t="shared" si="130"/>
        <v>0.1244411314347986</v>
      </c>
    </row>
    <row r="181" spans="2:55" s="206" customFormat="1" ht="16.95" customHeight="1" outlineLevel="1" x14ac:dyDescent="0.3">
      <c r="B181" s="300" t="s">
        <v>417</v>
      </c>
      <c r="C181" s="307">
        <f>C180</f>
        <v>4.1788983463996257</v>
      </c>
      <c r="D181" s="312">
        <f t="shared" ref="D181" si="131">C181+D180</f>
        <v>5.2526047857927871</v>
      </c>
      <c r="E181" s="312">
        <f t="shared" ref="E181" si="132">D181+E180</f>
        <v>2.7096471740888681</v>
      </c>
      <c r="F181" s="312">
        <f t="shared" ref="F181" si="133">E181+F180</f>
        <v>-7.0619834208866177</v>
      </c>
      <c r="G181" s="312">
        <f t="shared" ref="G181" si="134">F181+G180</f>
        <v>-16.006945474143258</v>
      </c>
      <c r="H181" s="312">
        <f t="shared" ref="H181" si="135">G181+H180</f>
        <v>-24.187490254566157</v>
      </c>
      <c r="I181" s="312">
        <f t="shared" ref="I181" si="136">H181+I180</f>
        <v>-31.661470683998967</v>
      </c>
      <c r="J181" s="312">
        <f t="shared" ref="J181" si="137">I181+J180</f>
        <v>-38.482639852251197</v>
      </c>
      <c r="K181" s="312">
        <f t="shared" ref="K181" si="138">J181+K180</f>
        <v>-44.700929824665273</v>
      </c>
      <c r="L181" s="312">
        <f t="shared" ref="L181" si="139">K181+L180</f>
        <v>-50.362712017320888</v>
      </c>
      <c r="M181" s="312">
        <f t="shared" ref="M181" si="140">L181+M180</f>
        <v>-55.51104033371162</v>
      </c>
      <c r="N181" s="312">
        <f t="shared" ref="N181" si="141">M181+N180</f>
        <v>-60.185878180600554</v>
      </c>
      <c r="O181" s="312">
        <f t="shared" ref="O181" si="142">N181+O180</f>
        <v>-64.424310409429225</v>
      </c>
      <c r="P181" s="312">
        <f t="shared" ref="P181" si="143">O181+P180</f>
        <v>-68.260741162818093</v>
      </c>
      <c r="Q181" s="312">
        <f t="shared" ref="Q181" si="144">P181+Q180</f>
        <v>-71.727078543076829</v>
      </c>
      <c r="R181" s="312">
        <f t="shared" ref="R181" si="145">Q181+R180</f>
        <v>-74.852906960974863</v>
      </c>
      <c r="S181" s="312">
        <f t="shared" ref="S181" si="146">R181+S180</f>
        <v>-77.665647968060924</v>
      </c>
      <c r="T181" s="312">
        <f t="shared" ref="T181" si="147">S181+T180</f>
        <v>-80.190710324332201</v>
      </c>
      <c r="U181" s="312">
        <f t="shared" ref="U181" si="148">T181+U180</f>
        <v>-82.451630004822675</v>
      </c>
      <c r="V181" s="312">
        <f t="shared" ref="V181" si="149">U181+V180</f>
        <v>-84.470200803501399</v>
      </c>
      <c r="W181" s="312">
        <f t="shared" ref="W181" si="150">V181+W180</f>
        <v>-86.266596150555117</v>
      </c>
      <c r="X181" s="312">
        <f t="shared" ref="X181" si="151">W181+X180</f>
        <v>-87.85948271949502</v>
      </c>
      <c r="Y181" s="312">
        <f t="shared" ref="Y181" si="152">X181+Y180</f>
        <v>-89.266126363407324</v>
      </c>
      <c r="Z181" s="312">
        <f t="shared" ref="Z181" si="153">Y181+Z180</f>
        <v>-89.212320509191017</v>
      </c>
      <c r="AA181" s="312">
        <f t="shared" ref="AA181" si="154">Z181+AA180</f>
        <v>-89.137529095924506</v>
      </c>
      <c r="AB181" s="312">
        <f t="shared" ref="AB181" si="155">AA181+AB180</f>
        <v>-89.044219286247539</v>
      </c>
      <c r="AC181" s="312">
        <f t="shared" ref="AC181" si="156">AB181+AC180</f>
        <v>-88.934650438824363</v>
      </c>
      <c r="AD181" s="312">
        <f t="shared" ref="AD181" si="157">AC181+AD180</f>
        <v>-88.810889504425006</v>
      </c>
      <c r="AE181" s="312">
        <f t="shared" ref="AE181" si="158">AD181+AE180</f>
        <v>-88.674825356646622</v>
      </c>
      <c r="AF181" s="312">
        <f t="shared" ref="AF181" si="159">AE181+AF180</f>
        <v>-88.528182127932553</v>
      </c>
      <c r="AG181" s="312">
        <f t="shared" ref="AG181" si="160">AF181+AG180</f>
        <v>-88.372531616993982</v>
      </c>
      <c r="AH181" s="312">
        <f t="shared" ref="AH181" si="161">AG181+AH180</f>
        <v>-88.209304829473098</v>
      </c>
      <c r="AI181" s="312">
        <f t="shared" ref="AI181" si="162">AH181+AI180</f>
        <v>-88.039802709691017</v>
      </c>
      <c r="AJ181" s="312">
        <f t="shared" ref="AJ181" si="163">AI181+AJ180</f>
        <v>-87.865206117579675</v>
      </c>
      <c r="AK181" s="312">
        <f t="shared" ref="AK181" si="164">AJ181+AK180</f>
        <v>-87.686585101390932</v>
      </c>
      <c r="AL181" s="312">
        <f t="shared" ref="AL181" si="165">AK181+AL180</f>
        <v>-87.508354352755902</v>
      </c>
      <c r="AM181" s="312">
        <f t="shared" ref="AM181" si="166">AL181+AM180</f>
        <v>-87.331756883559493</v>
      </c>
      <c r="AN181" s="312">
        <f t="shared" ref="AN181" si="167">AM181+AN180</f>
        <v>-87.157150028518458</v>
      </c>
      <c r="AO181" s="312">
        <f t="shared" ref="AO181" si="168">AN181+AO180</f>
        <v>-86.984846952856998</v>
      </c>
      <c r="AP181" s="312">
        <f t="shared" ref="AP181" si="169">AO181+AP180</f>
        <v>-86.815120427928449</v>
      </c>
      <c r="AQ181" s="312">
        <f t="shared" ref="AQ181" si="170">AP181+AQ180</f>
        <v>-86.648206325125386</v>
      </c>
      <c r="AR181" s="312">
        <f t="shared" ref="AR181" si="171">AQ181+AR180</f>
        <v>-86.484306847652149</v>
      </c>
      <c r="AS181" s="312">
        <f t="shared" ref="AS181" si="172">AR181+AS180</f>
        <v>-86.323593518432048</v>
      </c>
      <c r="AT181" s="312">
        <f t="shared" ref="AT181" si="173">AS181+AT180</f>
        <v>-86.166209941203689</v>
      </c>
      <c r="AU181" s="312">
        <f t="shared" ref="AU181" si="174">AT181+AU180</f>
        <v>-86.012274350722308</v>
      </c>
      <c r="AV181" s="312">
        <f t="shared" ref="AV181" si="175">AU181+AV180</f>
        <v>-85.861881966916286</v>
      </c>
      <c r="AW181" s="312">
        <f t="shared" ref="AW181" si="176">AV181+AW180</f>
        <v>-85.715107166853329</v>
      </c>
      <c r="AX181" s="312">
        <f t="shared" ref="AX181" si="177">AW181+AX180</f>
        <v>-85.572005487439242</v>
      </c>
      <c r="AY181" s="312">
        <f t="shared" ref="AY181" si="178">AX181+AY180</f>
        <v>-85.432615470901297</v>
      </c>
      <c r="AZ181" s="312">
        <f t="shared" ref="AZ181" si="179">AY181+AZ180</f>
        <v>-85.296960364294179</v>
      </c>
      <c r="BA181" s="312">
        <f t="shared" ref="BA181" si="180">AZ181+BA180</f>
        <v>-85.1650496835056</v>
      </c>
      <c r="BB181" s="312">
        <f t="shared" ref="BB181" si="181">BA181+BB180</f>
        <v>-85.036880651527269</v>
      </c>
      <c r="BC181" s="312">
        <f t="shared" ref="BC181" si="182">BB181+BC180</f>
        <v>-84.912439520092477</v>
      </c>
    </row>
    <row r="182" spans="2:55" s="206" customFormat="1" ht="16.95" customHeight="1" outlineLevel="1" x14ac:dyDescent="0.3">
      <c r="B182" s="300" t="s">
        <v>418</v>
      </c>
      <c r="C182" s="307">
        <f t="shared" ref="C182:AH182" si="183">C167/(1+$C$28)^C32</f>
        <v>28.255690021492637</v>
      </c>
      <c r="D182" s="307">
        <f t="shared" si="183"/>
        <v>29.786970179071044</v>
      </c>
      <c r="E182" s="307">
        <f t="shared" si="183"/>
        <v>32.309447835497288</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95" customHeight="1" outlineLevel="1" x14ac:dyDescent="0.3">
      <c r="B183" s="300" t="s">
        <v>419</v>
      </c>
      <c r="C183" s="1723">
        <f t="shared" ref="C183:L183" si="185">IF(C$32&lt;=3,1,IF(C176&lt;0,1,IF(B183=1,1-(C176/C175),0)))</f>
        <v>1</v>
      </c>
      <c r="D183" s="1723">
        <f t="shared" si="185"/>
        <v>1</v>
      </c>
      <c r="E183" s="1723">
        <f t="shared" si="185"/>
        <v>1</v>
      </c>
      <c r="F183" s="1723">
        <f t="shared" si="185"/>
        <v>1</v>
      </c>
      <c r="G183" s="1723">
        <f t="shared" si="185"/>
        <v>1</v>
      </c>
      <c r="H183" s="1723">
        <f t="shared" si="185"/>
        <v>1</v>
      </c>
      <c r="I183" s="1723">
        <f t="shared" si="185"/>
        <v>1</v>
      </c>
      <c r="J183" s="1723">
        <f t="shared" si="185"/>
        <v>1</v>
      </c>
      <c r="K183" s="1723">
        <f t="shared" si="185"/>
        <v>1</v>
      </c>
      <c r="L183" s="1723">
        <f t="shared" si="185"/>
        <v>1</v>
      </c>
      <c r="M183" s="322">
        <f t="shared" ref="M183:BC183" si="186">IF(M$32&lt;=3,0,IF(M176&lt;0,1,IF(L183=1,1-(M176/M175),0)))</f>
        <v>1</v>
      </c>
      <c r="N183" s="322">
        <f t="shared" si="186"/>
        <v>1</v>
      </c>
      <c r="O183" s="322">
        <f t="shared" si="186"/>
        <v>1</v>
      </c>
      <c r="P183" s="322">
        <f t="shared" si="186"/>
        <v>1</v>
      </c>
      <c r="Q183" s="322">
        <f t="shared" si="186"/>
        <v>1</v>
      </c>
      <c r="R183" s="322">
        <f t="shared" si="186"/>
        <v>1</v>
      </c>
      <c r="S183" s="322">
        <f t="shared" si="186"/>
        <v>1</v>
      </c>
      <c r="T183" s="322">
        <f t="shared" si="186"/>
        <v>1</v>
      </c>
      <c r="U183" s="322">
        <f t="shared" si="186"/>
        <v>1</v>
      </c>
      <c r="V183" s="322">
        <f t="shared" si="186"/>
        <v>1</v>
      </c>
      <c r="W183" s="322">
        <f t="shared" si="186"/>
        <v>1</v>
      </c>
      <c r="X183" s="322">
        <f t="shared" si="186"/>
        <v>1</v>
      </c>
      <c r="Y183" s="322">
        <f t="shared" si="186"/>
        <v>1</v>
      </c>
      <c r="Z183" s="322">
        <f t="shared" si="186"/>
        <v>1</v>
      </c>
      <c r="AA183" s="322">
        <f t="shared" si="186"/>
        <v>1</v>
      </c>
      <c r="AB183" s="322">
        <f t="shared" si="186"/>
        <v>1</v>
      </c>
      <c r="AC183" s="322">
        <f t="shared" si="186"/>
        <v>1</v>
      </c>
      <c r="AD183" s="322">
        <f t="shared" si="186"/>
        <v>1</v>
      </c>
      <c r="AE183" s="322">
        <f t="shared" si="186"/>
        <v>1</v>
      </c>
      <c r="AF183" s="322">
        <f t="shared" si="186"/>
        <v>1</v>
      </c>
      <c r="AG183" s="322">
        <f t="shared" si="186"/>
        <v>1</v>
      </c>
      <c r="AH183" s="322">
        <f t="shared" si="186"/>
        <v>1</v>
      </c>
      <c r="AI183" s="322">
        <f t="shared" si="186"/>
        <v>1</v>
      </c>
      <c r="AJ183" s="322">
        <f t="shared" si="186"/>
        <v>1</v>
      </c>
      <c r="AK183" s="322">
        <f t="shared" si="186"/>
        <v>1</v>
      </c>
      <c r="AL183" s="322">
        <f t="shared" si="186"/>
        <v>1</v>
      </c>
      <c r="AM183" s="322">
        <f t="shared" si="186"/>
        <v>1</v>
      </c>
      <c r="AN183" s="322">
        <f t="shared" si="186"/>
        <v>1</v>
      </c>
      <c r="AO183" s="322">
        <f t="shared" si="186"/>
        <v>1</v>
      </c>
      <c r="AP183" s="322">
        <f t="shared" si="186"/>
        <v>1</v>
      </c>
      <c r="AQ183" s="322">
        <f t="shared" si="186"/>
        <v>1</v>
      </c>
      <c r="AR183" s="322">
        <f t="shared" si="186"/>
        <v>1</v>
      </c>
      <c r="AS183" s="322">
        <f t="shared" si="186"/>
        <v>1</v>
      </c>
      <c r="AT183" s="322">
        <f t="shared" si="186"/>
        <v>1</v>
      </c>
      <c r="AU183" s="322">
        <f t="shared" si="186"/>
        <v>1</v>
      </c>
      <c r="AV183" s="322">
        <f t="shared" si="186"/>
        <v>1</v>
      </c>
      <c r="AW183" s="322">
        <f t="shared" si="186"/>
        <v>1</v>
      </c>
      <c r="AX183" s="322">
        <f t="shared" si="186"/>
        <v>1</v>
      </c>
      <c r="AY183" s="322">
        <f t="shared" si="186"/>
        <v>1</v>
      </c>
      <c r="AZ183" s="322">
        <f t="shared" si="186"/>
        <v>1</v>
      </c>
      <c r="BA183" s="322">
        <f t="shared" si="186"/>
        <v>1</v>
      </c>
      <c r="BB183" s="322">
        <f t="shared" si="186"/>
        <v>1</v>
      </c>
      <c r="BC183" s="322">
        <f t="shared" si="186"/>
        <v>1</v>
      </c>
    </row>
    <row r="184" spans="2:55" s="206" customFormat="1" ht="16.95" customHeight="1" outlineLevel="1" x14ac:dyDescent="0.3">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f>IF(AK31=1,IRR($C175:AK175),"-")</f>
        <v>0.84042738813951368</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3">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3">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3">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3">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3">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3">
      <c r="R190" s="66"/>
    </row>
    <row r="191" spans="2:55" ht="14.25" customHeight="1" x14ac:dyDescent="0.3">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3">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3">
      <c r="R193" s="66"/>
    </row>
    <row r="194" spans="18:18" ht="14.25" customHeight="1" x14ac:dyDescent="0.3">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8671875" defaultRowHeight="14.4" outlineLevelRow="1" x14ac:dyDescent="0.3"/>
  <cols>
    <col min="1" max="1" width="6.5546875" style="383" customWidth="1"/>
    <col min="2" max="2" width="85.6640625" style="1715" customWidth="1"/>
    <col min="3" max="3" width="13.6640625" style="38" bestFit="1" customWidth="1"/>
    <col min="4" max="8" width="14.6640625" style="1727" customWidth="1"/>
    <col min="9" max="14" width="10.6640625" style="1727" customWidth="1"/>
    <col min="15" max="17" width="10.6640625" style="1778" customWidth="1"/>
    <col min="18" max="34" width="10.6640625" style="1727" customWidth="1"/>
    <col min="35" max="35" width="10.6640625" style="383" customWidth="1"/>
    <col min="36" max="60" width="10.6640625" style="1727" customWidth="1"/>
    <col min="61" max="16384" width="8.88671875" style="1727"/>
  </cols>
  <sheetData>
    <row r="1" spans="1:60" ht="15" thickBot="1" x14ac:dyDescent="0.35">
      <c r="D1" s="1789"/>
      <c r="E1" s="1789"/>
      <c r="F1" s="1789"/>
      <c r="G1" s="1789"/>
      <c r="H1" s="1789"/>
    </row>
    <row r="2" spans="1:60" s="1783" customFormat="1" ht="22.2" thickTop="1" thickBot="1" x14ac:dyDescent="0.35">
      <c r="A2" s="383"/>
      <c r="B2" s="1903" t="s">
        <v>1093</v>
      </c>
      <c r="C2" s="2375" t="str">
        <f>'R&amp;C-Painel de Controle'!G2</f>
        <v>CIRSOP - Consórcio RSU Oeste Paulista</v>
      </c>
      <c r="D2" s="2376"/>
      <c r="E2" s="2376"/>
      <c r="F2" s="2376"/>
      <c r="G2" s="2376"/>
      <c r="H2" s="2377"/>
      <c r="I2" s="1192"/>
      <c r="AI2" s="383"/>
    </row>
    <row r="3" spans="1:60" s="1783" customFormat="1" ht="4.95" customHeight="1" thickTop="1" thickBot="1" x14ac:dyDescent="0.35">
      <c r="A3" s="383"/>
      <c r="B3" s="1715"/>
      <c r="C3" s="38"/>
      <c r="AI3" s="383"/>
    </row>
    <row r="4" spans="1:60" ht="18.600000000000001" thickTop="1" x14ac:dyDescent="0.3">
      <c r="B4" s="1889" t="str">
        <f>B104</f>
        <v>Quant. RSU (Ano 1)</v>
      </c>
      <c r="C4" s="1890">
        <f>C104</f>
        <v>250</v>
      </c>
      <c r="D4" s="1891" t="str">
        <f>D104</f>
        <v>t/d</v>
      </c>
      <c r="E4" s="1892"/>
      <c r="F4" s="1892"/>
      <c r="G4" s="1892"/>
      <c r="H4" s="1893"/>
      <c r="I4" s="1192"/>
    </row>
    <row r="5" spans="1:60" ht="19.95" customHeight="1" x14ac:dyDescent="0.3">
      <c r="B5" s="1894" t="s">
        <v>1119</v>
      </c>
      <c r="C5" s="1895">
        <f>'R&amp;C-Painel de Controle'!D33</f>
        <v>237.54494967426146</v>
      </c>
      <c r="D5" s="1896" t="s">
        <v>342</v>
      </c>
      <c r="E5" s="1897"/>
      <c r="F5" s="1897"/>
      <c r="G5" s="1897"/>
      <c r="H5" s="1898"/>
      <c r="I5" s="1192"/>
    </row>
    <row r="6" spans="1:60" s="1998" customFormat="1" ht="19.95" customHeight="1" x14ac:dyDescent="0.3">
      <c r="A6" s="383"/>
      <c r="B6" s="1894" t="s">
        <v>1120</v>
      </c>
      <c r="C6" s="1895">
        <f>'R&amp;C-Painel de Controle'!H33</f>
        <v>254.60848243040007</v>
      </c>
      <c r="D6" s="1896" t="s">
        <v>342</v>
      </c>
      <c r="E6" s="1897"/>
      <c r="F6" s="1897"/>
      <c r="G6" s="1897"/>
      <c r="H6" s="1898"/>
      <c r="I6" s="1192"/>
      <c r="AI6" s="383"/>
    </row>
    <row r="7" spans="1:60" s="1783" customFormat="1" ht="18" x14ac:dyDescent="0.3">
      <c r="A7" s="383"/>
      <c r="B7" s="1894" t="s">
        <v>1066</v>
      </c>
      <c r="C7" s="1895">
        <f>'R&amp;C-Painel de Controle'!D32</f>
        <v>35</v>
      </c>
      <c r="D7" s="1896" t="s">
        <v>309</v>
      </c>
      <c r="E7" s="1897"/>
      <c r="F7" s="1897"/>
      <c r="G7" s="1897"/>
      <c r="H7" s="1898"/>
      <c r="I7" s="1192"/>
      <c r="AI7" s="383"/>
    </row>
    <row r="8" spans="1:60" s="1783" customFormat="1" ht="18.600000000000001" thickBot="1" x14ac:dyDescent="0.35">
      <c r="A8" s="383"/>
      <c r="B8" s="1899" t="s">
        <v>1024</v>
      </c>
      <c r="C8" s="1904">
        <f>'C-FCL Real'!C28</f>
        <v>9.74E-2</v>
      </c>
      <c r="D8" s="1900" t="s">
        <v>195</v>
      </c>
      <c r="E8" s="1901"/>
      <c r="F8" s="1901"/>
      <c r="G8" s="1901"/>
      <c r="H8" s="1902"/>
      <c r="I8" s="1192"/>
      <c r="AI8" s="383"/>
    </row>
    <row r="9" spans="1:60" s="1783" customFormat="1" ht="4.95" customHeight="1" thickTop="1" thickBot="1" x14ac:dyDescent="0.35">
      <c r="A9" s="383"/>
      <c r="B9" s="1715"/>
      <c r="C9" s="38"/>
      <c r="AI9" s="383"/>
    </row>
    <row r="10" spans="1:60" s="1079" customFormat="1" ht="19.95" customHeight="1" thickTop="1" x14ac:dyDescent="0.3">
      <c r="A10" s="1734"/>
      <c r="B10" s="2378" t="s">
        <v>1092</v>
      </c>
      <c r="C10" s="2379"/>
      <c r="D10" s="2382" t="s">
        <v>1087</v>
      </c>
      <c r="E10" s="2383"/>
      <c r="F10" s="2383"/>
      <c r="G10" s="2383"/>
      <c r="H10" s="2384"/>
      <c r="J10" s="1842" t="s">
        <v>1089</v>
      </c>
      <c r="K10" s="1842" t="s">
        <v>1087</v>
      </c>
      <c r="L10" s="1842" t="s">
        <v>1090</v>
      </c>
      <c r="M10" s="1842" t="s">
        <v>1088</v>
      </c>
      <c r="AI10" s="1734"/>
    </row>
    <row r="11" spans="1:60" s="1079" customFormat="1" ht="19.95" customHeight="1" thickBot="1" x14ac:dyDescent="0.35">
      <c r="A11" s="1734"/>
      <c r="B11" s="2380"/>
      <c r="C11" s="2381"/>
      <c r="D11" s="2385"/>
      <c r="E11" s="2386"/>
      <c r="F11" s="2386"/>
      <c r="G11" s="2386"/>
      <c r="H11" s="2387"/>
      <c r="AI11" s="1734"/>
    </row>
    <row r="12" spans="1:60" ht="4.95" customHeight="1" thickTop="1" thickBot="1" x14ac:dyDescent="0.35"/>
    <row r="13" spans="1:60" s="42" customFormat="1" ht="25.2" customHeight="1" collapsed="1" thickTop="1" thickBot="1" x14ac:dyDescent="0.35">
      <c r="A13" s="1740"/>
      <c r="B13" s="2392" t="s">
        <v>1084</v>
      </c>
      <c r="C13" s="2393"/>
      <c r="D13" s="2393"/>
      <c r="E13" s="2393"/>
      <c r="F13" s="2393"/>
      <c r="G13" s="2393"/>
      <c r="H13" s="2394"/>
      <c r="I13" s="1783"/>
      <c r="J13" s="1783"/>
      <c r="AI13" s="1740"/>
    </row>
    <row r="14" spans="1:60" s="860" customFormat="1" ht="15" hidden="1" customHeight="1" outlineLevel="1" thickTop="1" x14ac:dyDescent="0.3">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hidden="1" customHeight="1" outlineLevel="1" x14ac:dyDescent="0.3">
      <c r="A15" s="2374"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hidden="1" customHeight="1" outlineLevel="1" x14ac:dyDescent="0.3">
      <c r="A16" s="2374"/>
      <c r="B16" s="1792" t="str">
        <f>'C-FCL Real'!B35</f>
        <v>Dados Quantitativos RSU</v>
      </c>
      <c r="C16" s="1807">
        <f>SUMIF($D$15:$BG$15,1,D16:BG16)</f>
        <v>2935388.259928742</v>
      </c>
      <c r="D16" s="1802">
        <f>'C-FCL Real'!C35</f>
        <v>78000</v>
      </c>
      <c r="E16" s="1787">
        <f>'C-FCL Real'!D35</f>
        <v>78366.599999999991</v>
      </c>
      <c r="F16" s="1787">
        <f>'C-FCL Real'!E35</f>
        <v>78734.923019999987</v>
      </c>
      <c r="G16" s="1787">
        <f>'C-FCL Real'!F35</f>
        <v>79104.977158193986</v>
      </c>
      <c r="H16" s="1787">
        <f>'C-FCL Real'!G35</f>
        <v>79476.770550837493</v>
      </c>
      <c r="I16" s="1787">
        <f>'C-FCL Real'!H35</f>
        <v>79850.311372426426</v>
      </c>
      <c r="J16" s="1787">
        <f>'C-FCL Real'!I35</f>
        <v>80225.607835876828</v>
      </c>
      <c r="K16" s="1787">
        <f>'C-FCL Real'!J35</f>
        <v>80602.668192705445</v>
      </c>
      <c r="L16" s="1787">
        <f>'C-FCL Real'!K35</f>
        <v>80981.500733211156</v>
      </c>
      <c r="M16" s="1787">
        <f>'C-FCL Real'!L35</f>
        <v>81362.113786657239</v>
      </c>
      <c r="N16" s="1787">
        <f>'C-FCL Real'!M35</f>
        <v>81744.515721454518</v>
      </c>
      <c r="O16" s="1787">
        <f>'C-FCL Real'!N35</f>
        <v>82128.714945345346</v>
      </c>
      <c r="P16" s="1787">
        <f>'C-FCL Real'!O35</f>
        <v>82514.719905588456</v>
      </c>
      <c r="Q16" s="1787">
        <f>'C-FCL Real'!P35</f>
        <v>82902.539089144717</v>
      </c>
      <c r="R16" s="1787">
        <f>'C-FCL Real'!Q35</f>
        <v>83292.18102286369</v>
      </c>
      <c r="S16" s="1787">
        <f>'C-FCL Real'!O35</f>
        <v>82514.719905588456</v>
      </c>
      <c r="T16" s="1787">
        <f>'C-FCL Real'!P35</f>
        <v>82902.539089144717</v>
      </c>
      <c r="U16" s="1787">
        <f>'C-FCL Real'!Q35</f>
        <v>83292.18102286369</v>
      </c>
      <c r="V16" s="1787">
        <f>'C-FCL Real'!R35</f>
        <v>83683.654273671142</v>
      </c>
      <c r="W16" s="1787">
        <f>'C-FCL Real'!S35</f>
        <v>84076.967448757394</v>
      </c>
      <c r="X16" s="1787">
        <f>'C-FCL Real'!T35</f>
        <v>84472.129195766553</v>
      </c>
      <c r="Y16" s="1787">
        <f>'C-FCL Real'!U35</f>
        <v>84869.148202986646</v>
      </c>
      <c r="Z16" s="1787">
        <f>'C-FCL Real'!V35</f>
        <v>85268.033199540674</v>
      </c>
      <c r="AA16" s="1787">
        <f>'C-FCL Real'!W35</f>
        <v>85668.792955578509</v>
      </c>
      <c r="AB16" s="1787">
        <f>'C-FCL Real'!X35</f>
        <v>86071.436282469716</v>
      </c>
      <c r="AC16" s="1787">
        <f>'C-FCL Real'!Y35</f>
        <v>86475.972032997321</v>
      </c>
      <c r="AD16" s="1787">
        <f>'C-FCL Real'!Z35</f>
        <v>86882.409101552403</v>
      </c>
      <c r="AE16" s="1787">
        <f>'C-FCL Real'!AA35</f>
        <v>87290.756424329695</v>
      </c>
      <c r="AF16" s="1787">
        <f>'C-FCL Real'!AB35</f>
        <v>87701.022979524045</v>
      </c>
      <c r="AG16" s="1787">
        <f>'C-FCL Real'!AC35</f>
        <v>88113.217787527799</v>
      </c>
      <c r="AH16" s="1787">
        <f>'C-FCL Real'!AD35</f>
        <v>88527.349911129175</v>
      </c>
      <c r="AI16" s="1787">
        <f>'C-FCL Real'!AE35</f>
        <v>88943.428455711473</v>
      </c>
      <c r="AJ16" s="1787">
        <f>'C-FCL Real'!AF35</f>
        <v>89361.462569453317</v>
      </c>
      <c r="AK16" s="1787">
        <f>'C-FCL Real'!AG35</f>
        <v>89781.461443529741</v>
      </c>
      <c r="AL16" s="1787">
        <f>'C-FCL Real'!AH35</f>
        <v>90203.434312314319</v>
      </c>
      <c r="AM16" s="1787">
        <f>'C-FCL Real'!AI35</f>
        <v>90627.390453582193</v>
      </c>
      <c r="AN16" s="1787">
        <f>'C-FCL Real'!AJ35</f>
        <v>91053.339188714017</v>
      </c>
      <c r="AO16" s="1787">
        <f>'C-FCL Real'!AK35</f>
        <v>91481.289882900965</v>
      </c>
      <c r="AP16" s="1787">
        <f>'C-FCL Real'!AL35</f>
        <v>91911.251945350596</v>
      </c>
      <c r="AQ16" s="1787">
        <f>'C-FCL Real'!AM35</f>
        <v>92343.23482949374</v>
      </c>
      <c r="AR16" s="1787">
        <f>'C-FCL Real'!AN35</f>
        <v>92777.248033192358</v>
      </c>
      <c r="AS16" s="1787">
        <f>'C-FCL Real'!AO35</f>
        <v>93213.301098948359</v>
      </c>
      <c r="AT16" s="1787">
        <f>'C-FCL Real'!AP35</f>
        <v>93651.403614113413</v>
      </c>
      <c r="AU16" s="1787">
        <f>'C-FCL Real'!AQ35</f>
        <v>94091.565211099733</v>
      </c>
      <c r="AV16" s="1787">
        <f>'C-FCL Real'!AR35</f>
        <v>94533.795567591893</v>
      </c>
      <c r="AW16" s="1787">
        <f>'C-FCL Real'!AS35</f>
        <v>94978.104406759565</v>
      </c>
      <c r="AX16" s="1787">
        <f>'C-FCL Real'!AT35</f>
        <v>95424.501497471327</v>
      </c>
      <c r="AY16" s="1787">
        <f>'C-FCL Real'!AU35</f>
        <v>95872.996654509436</v>
      </c>
      <c r="AZ16" s="1787">
        <f>'C-FCL Real'!AV35</f>
        <v>96323.599738785619</v>
      </c>
      <c r="BA16" s="1787">
        <f>'C-FCL Real'!AW35</f>
        <v>96776.32065755791</v>
      </c>
      <c r="BB16" s="1787">
        <f>'C-FCL Real'!AX35</f>
        <v>97231.16936464842</v>
      </c>
      <c r="BC16" s="1787">
        <f>'C-FCL Real'!AY35</f>
        <v>97688.155860662257</v>
      </c>
      <c r="BD16" s="1787">
        <f>'C-FCL Real'!AZ35</f>
        <v>98147.290193207358</v>
      </c>
      <c r="BE16" s="1787">
        <f>'C-FCL Real'!BA35</f>
        <v>98608.582457115423</v>
      </c>
      <c r="BF16" s="1787">
        <f>'C-FCL Real'!BB35</f>
        <v>99072.042794663852</v>
      </c>
      <c r="BG16" s="1787">
        <f>'C-FCL Real'!BC35</f>
        <v>99537.681395798762</v>
      </c>
      <c r="BH16" s="1787">
        <f>'C-FCL Real'!BD35</f>
        <v>0</v>
      </c>
    </row>
    <row r="17" spans="1:60" ht="15" hidden="1" customHeight="1" outlineLevel="1" x14ac:dyDescent="0.3">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hidden="1" customHeight="1" outlineLevel="1" x14ac:dyDescent="0.3">
      <c r="A18" s="1823">
        <f>C18*1000000/$C$16</f>
        <v>48.596030091690842</v>
      </c>
      <c r="B18" s="1794" t="str">
        <f>'C-FCL Real'!B63</f>
        <v>Dados de Capex</v>
      </c>
      <c r="C18" s="1809">
        <f>SUMIF($D$15:$BG$15,1,D18:BG18)</f>
        <v>142.64821621029319</v>
      </c>
      <c r="D18" s="1804">
        <f>'C-FCL Real'!C63</f>
        <v>40.365271459275199</v>
      </c>
      <c r="E18" s="51">
        <f>'C-FCL Real'!D63</f>
        <v>46.69745867787509</v>
      </c>
      <c r="F18" s="51">
        <f>'C-FCL Real'!E63</f>
        <v>55.585486073142917</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3">
      <c r="A19" s="1823">
        <f>C19*1000000/$C$16</f>
        <v>44.282877794505978</v>
      </c>
      <c r="B19" s="1847" t="s">
        <v>1008</v>
      </c>
      <c r="C19" s="1808">
        <f>SUMIF($D$15:$BG$15,1,D19:BG19)</f>
        <v>129.98743959385203</v>
      </c>
      <c r="D19" s="1804">
        <f t="shared" ref="D19:AJ19" si="0">NPV($C$8,D18:D18)</f>
        <v>36.782642117072356</v>
      </c>
      <c r="E19" s="51">
        <f t="shared" si="0"/>
        <v>42.552814541530068</v>
      </c>
      <c r="F19" s="51">
        <f t="shared" si="0"/>
        <v>50.651982935249606</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3">
      <c r="A20" s="1823"/>
      <c r="B20" s="1192"/>
      <c r="C20" s="1811">
        <f>C18*1000000/(C16/C43)</f>
        <v>1700.8610532091795</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3">
      <c r="A21" s="1823">
        <f>C21*1000000/$C$16</f>
        <v>229.40484347873712</v>
      </c>
      <c r="B21" s="1794" t="str">
        <f>'C-FCL Real'!B119</f>
        <v>Dados de Opex + Gestão do Contrato</v>
      </c>
      <c r="C21" s="1809">
        <f>SUMIF($D$15:$BG$15,1,D21:BG21)</f>
        <v>673.39228431827553</v>
      </c>
      <c r="D21" s="1804">
        <f>'C-FCL Real'!C119</f>
        <v>2.5739425000000002</v>
      </c>
      <c r="E21" s="51">
        <f>'C-FCL Real'!D119</f>
        <v>2.5739425000000002</v>
      </c>
      <c r="F21" s="51">
        <f>'C-FCL Real'!E119</f>
        <v>2.5739425000000002</v>
      </c>
      <c r="G21" s="51">
        <f>'C-FCL Real'!F119</f>
        <v>20.802201775571092</v>
      </c>
      <c r="H21" s="51">
        <f>'C-FCL Real'!G119</f>
        <v>20.802201775571092</v>
      </c>
      <c r="I21" s="51">
        <f>'C-FCL Real'!H119</f>
        <v>20.802201775571092</v>
      </c>
      <c r="J21" s="51">
        <f>'C-FCL Real'!I119</f>
        <v>20.802201775571092</v>
      </c>
      <c r="K21" s="51">
        <f>'C-FCL Real'!J119</f>
        <v>20.802201775571092</v>
      </c>
      <c r="L21" s="51">
        <f>'C-FCL Real'!K119</f>
        <v>20.802201775571092</v>
      </c>
      <c r="M21" s="51">
        <f>'C-FCL Real'!L119</f>
        <v>20.802201775571092</v>
      </c>
      <c r="N21" s="51">
        <f>'C-FCL Real'!M119</f>
        <v>20.802201775571092</v>
      </c>
      <c r="O21" s="51">
        <f>'C-FCL Real'!N119</f>
        <v>20.802201775571092</v>
      </c>
      <c r="P21" s="51">
        <f>'C-FCL Real'!O119</f>
        <v>20.802201775571092</v>
      </c>
      <c r="Q21" s="51">
        <f>'C-FCL Real'!P119</f>
        <v>20.802201775571092</v>
      </c>
      <c r="R21" s="51">
        <f>'C-FCL Real'!Q119</f>
        <v>20.802201775571092</v>
      </c>
      <c r="S21" s="51">
        <f>'C-FCL Real'!O119</f>
        <v>20.802201775571092</v>
      </c>
      <c r="T21" s="51">
        <f>'C-FCL Real'!P119</f>
        <v>20.802201775571092</v>
      </c>
      <c r="U21" s="51">
        <f>'C-FCL Real'!Q119</f>
        <v>20.802201775571092</v>
      </c>
      <c r="V21" s="51">
        <f>'C-FCL Real'!R119</f>
        <v>20.802201775571092</v>
      </c>
      <c r="W21" s="51">
        <f>'C-FCL Real'!S119</f>
        <v>20.802201775571092</v>
      </c>
      <c r="X21" s="51">
        <f>'C-FCL Real'!T119</f>
        <v>20.802201775571092</v>
      </c>
      <c r="Y21" s="51">
        <f>'C-FCL Real'!U119</f>
        <v>20.802201775571092</v>
      </c>
      <c r="Z21" s="51">
        <f>'C-FCL Real'!V119</f>
        <v>20.802201775571092</v>
      </c>
      <c r="AA21" s="51">
        <f>'C-FCL Real'!W119</f>
        <v>20.802201775571092</v>
      </c>
      <c r="AB21" s="51">
        <f>'C-FCL Real'!X119</f>
        <v>20.802201775571092</v>
      </c>
      <c r="AC21" s="51">
        <f>'C-FCL Real'!Y119</f>
        <v>20.802201775571092</v>
      </c>
      <c r="AD21" s="51">
        <f>'C-FCL Real'!Z119</f>
        <v>20.802201775571092</v>
      </c>
      <c r="AE21" s="51">
        <f>'C-FCL Real'!AA119</f>
        <v>20.802201775571092</v>
      </c>
      <c r="AF21" s="51">
        <f>'C-FCL Real'!AB119</f>
        <v>20.802201775571092</v>
      </c>
      <c r="AG21" s="51">
        <f>'C-FCL Real'!AC119</f>
        <v>20.802201775571092</v>
      </c>
      <c r="AH21" s="51">
        <f>'C-FCL Real'!AD119</f>
        <v>20.802201775571092</v>
      </c>
      <c r="AI21" s="51">
        <f>'C-FCL Real'!AE119</f>
        <v>20.802201775571092</v>
      </c>
      <c r="AJ21" s="1739">
        <f>'C-FCL Real'!AF119</f>
        <v>20.802201775571092</v>
      </c>
      <c r="AK21" s="51">
        <f>'C-FCL Real'!AG119</f>
        <v>20.802201775571092</v>
      </c>
      <c r="AL21" s="51">
        <f>'C-FCL Real'!AH119</f>
        <v>20.802201775571092</v>
      </c>
      <c r="AM21" s="51">
        <f>'C-FCL Real'!AI119</f>
        <v>20.802201775571092</v>
      </c>
      <c r="AN21" s="51">
        <f>'C-FCL Real'!AJ119</f>
        <v>20.802201775571092</v>
      </c>
      <c r="AO21" s="51">
        <f>'C-FCL Real'!AK119</f>
        <v>20.802201775571092</v>
      </c>
      <c r="AP21" s="51">
        <f>'C-FCL Real'!AL119</f>
        <v>20.802201775571092</v>
      </c>
      <c r="AQ21" s="51">
        <f>'C-FCL Real'!AM119</f>
        <v>20.802201775571092</v>
      </c>
      <c r="AR21" s="51">
        <f>'C-FCL Real'!AN119</f>
        <v>20.802201775571092</v>
      </c>
      <c r="AS21" s="51">
        <f>'C-FCL Real'!AO119</f>
        <v>20.802201775571092</v>
      </c>
      <c r="AT21" s="51">
        <f>'C-FCL Real'!AP119</f>
        <v>20.802201775571092</v>
      </c>
      <c r="AU21" s="51">
        <f>'C-FCL Real'!AQ119</f>
        <v>20.802201775571092</v>
      </c>
      <c r="AV21" s="51">
        <f>'C-FCL Real'!AR119</f>
        <v>20.802201775571092</v>
      </c>
      <c r="AW21" s="51">
        <f>'C-FCL Real'!AS119</f>
        <v>20.802201775571092</v>
      </c>
      <c r="AX21" s="51">
        <f>'C-FCL Real'!AT119</f>
        <v>20.802201775571092</v>
      </c>
      <c r="AY21" s="51">
        <f>'C-FCL Real'!AU119</f>
        <v>20.802201775571092</v>
      </c>
      <c r="AZ21" s="51">
        <f>'C-FCL Real'!AV119</f>
        <v>20.802201775571092</v>
      </c>
      <c r="BA21" s="51">
        <f>'C-FCL Real'!AW119</f>
        <v>20.802201775571092</v>
      </c>
      <c r="BB21" s="51">
        <f>'C-FCL Real'!AX119</f>
        <v>20.802201775571092</v>
      </c>
      <c r="BC21" s="51">
        <f>'C-FCL Real'!AY119</f>
        <v>20.802201775571092</v>
      </c>
      <c r="BD21" s="51">
        <f>'C-FCL Real'!AZ119</f>
        <v>20.802201775571092</v>
      </c>
      <c r="BE21" s="51">
        <f>'C-FCL Real'!BA119</f>
        <v>20.802201775571092</v>
      </c>
      <c r="BF21" s="51">
        <f>'C-FCL Real'!BB119</f>
        <v>20.802201775571092</v>
      </c>
      <c r="BG21" s="51">
        <f>'C-FCL Real'!BC119</f>
        <v>20.802201775571092</v>
      </c>
      <c r="BH21" s="51">
        <f>'C-FCL Real'!BD119</f>
        <v>0</v>
      </c>
    </row>
    <row r="22" spans="1:60" ht="15" hidden="1" customHeight="1" outlineLevel="1" x14ac:dyDescent="0.3">
      <c r="A22" s="1823">
        <f>C22*1000000/$C$16</f>
        <v>196.12853395107553</v>
      </c>
      <c r="B22" s="1847" t="s">
        <v>1009</v>
      </c>
      <c r="C22" s="1808">
        <f>SUMIF($D$15:$BG$15,1,D22:BG22)</f>
        <v>575.71339599702276</v>
      </c>
      <c r="D22" s="1804">
        <f t="shared" ref="D22:AJ22" si="1">NPV($C$8,D21:D21)</f>
        <v>2.3454916165482054</v>
      </c>
      <c r="E22" s="51">
        <f t="shared" si="1"/>
        <v>2.3454916165482054</v>
      </c>
      <c r="F22" s="51">
        <f t="shared" si="1"/>
        <v>2.3454916165482054</v>
      </c>
      <c r="G22" s="51">
        <f t="shared" si="1"/>
        <v>18.955897371579272</v>
      </c>
      <c r="H22" s="51">
        <f t="shared" si="1"/>
        <v>18.955897371579272</v>
      </c>
      <c r="I22" s="51">
        <f t="shared" si="1"/>
        <v>18.955897371579272</v>
      </c>
      <c r="J22" s="51">
        <f t="shared" si="1"/>
        <v>18.955897371579272</v>
      </c>
      <c r="K22" s="51">
        <f t="shared" si="1"/>
        <v>18.955897371579272</v>
      </c>
      <c r="L22" s="51">
        <f t="shared" si="1"/>
        <v>18.955897371579272</v>
      </c>
      <c r="M22" s="51">
        <f t="shared" si="1"/>
        <v>18.955897371579272</v>
      </c>
      <c r="N22" s="51">
        <f t="shared" si="1"/>
        <v>18.955897371579272</v>
      </c>
      <c r="O22" s="51">
        <f t="shared" si="1"/>
        <v>18.955897371579272</v>
      </c>
      <c r="P22" s="51">
        <f t="shared" si="1"/>
        <v>18.955897371579272</v>
      </c>
      <c r="Q22" s="51">
        <f t="shared" si="1"/>
        <v>18.955897371579272</v>
      </c>
      <c r="R22" s="51">
        <f t="shared" si="1"/>
        <v>18.955897371579272</v>
      </c>
      <c r="S22" s="51">
        <f t="shared" si="1"/>
        <v>18.955897371579272</v>
      </c>
      <c r="T22" s="51">
        <f t="shared" si="1"/>
        <v>18.955897371579272</v>
      </c>
      <c r="U22" s="51">
        <f t="shared" si="1"/>
        <v>18.955897371579272</v>
      </c>
      <c r="V22" s="51">
        <f t="shared" si="1"/>
        <v>18.955897371579272</v>
      </c>
      <c r="W22" s="51">
        <f t="shared" si="1"/>
        <v>18.955897371579272</v>
      </c>
      <c r="X22" s="51">
        <f t="shared" si="1"/>
        <v>18.955897371579272</v>
      </c>
      <c r="Y22" s="51">
        <f t="shared" si="1"/>
        <v>18.955897371579272</v>
      </c>
      <c r="Z22" s="51">
        <f t="shared" si="1"/>
        <v>18.955897371579272</v>
      </c>
      <c r="AA22" s="51">
        <f t="shared" si="1"/>
        <v>18.955897371579272</v>
      </c>
      <c r="AB22" s="51">
        <f t="shared" si="1"/>
        <v>18.955897371579272</v>
      </c>
      <c r="AC22" s="51">
        <f t="shared" si="1"/>
        <v>18.955897371579272</v>
      </c>
      <c r="AD22" s="51">
        <f t="shared" si="1"/>
        <v>18.955897371579272</v>
      </c>
      <c r="AE22" s="51">
        <f t="shared" si="1"/>
        <v>18.955897371579272</v>
      </c>
      <c r="AF22" s="51">
        <f t="shared" si="1"/>
        <v>18.955897371579272</v>
      </c>
      <c r="AG22" s="51">
        <f t="shared" si="1"/>
        <v>18.955897371579272</v>
      </c>
      <c r="AH22" s="51">
        <f t="shared" si="1"/>
        <v>18.955897371579272</v>
      </c>
      <c r="AI22" s="51">
        <f t="shared" si="1"/>
        <v>18.955897371579272</v>
      </c>
      <c r="AJ22" s="1739">
        <f t="shared" si="1"/>
        <v>18.955897371579272</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3">
      <c r="A23" s="1823"/>
      <c r="B23" s="1793"/>
      <c r="C23" s="1838">
        <f>C21*1000000/C16</f>
        <v>229.40484347873712</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3">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3">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3">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3">
      <c r="A27" s="1823">
        <f>C27*1000000/$C$16</f>
        <v>203.69479434567918</v>
      </c>
      <c r="B27" s="1794" t="str">
        <f>'C-FCL Real'!B148</f>
        <v>Dados de Receitas Diretas</v>
      </c>
      <c r="C27" s="1809">
        <f>SUMIF($D$15:$BG$15,1,D27:BG27)</f>
        <v>597.92330793090616</v>
      </c>
      <c r="D27" s="1804">
        <f>'C-FCL Real'!C148-D30</f>
        <v>15.888193958962974</v>
      </c>
      <c r="E27" s="51">
        <f>'C-FCL Real'!D148-E30</f>
        <v>15.9628684705701</v>
      </c>
      <c r="F27" s="51">
        <f>'C-FCL Real'!E148-F30</f>
        <v>16.037893952381779</v>
      </c>
      <c r="G27" s="51">
        <f>'C-FCL Real'!F148-G30</f>
        <v>16.113272053957974</v>
      </c>
      <c r="H27" s="51">
        <f>'C-FCL Real'!G148-H30</f>
        <v>16.189004432611572</v>
      </c>
      <c r="I27" s="51">
        <f>'C-FCL Real'!H148-I30</f>
        <v>16.265092753444847</v>
      </c>
      <c r="J27" s="51">
        <f>'C-FCL Real'!I148-J30</f>
        <v>16.341538689386038</v>
      </c>
      <c r="K27" s="51">
        <f>'C-FCL Real'!J148-K30</f>
        <v>16.418343921226153</v>
      </c>
      <c r="L27" s="51">
        <f>'C-FCL Real'!K148-L30</f>
        <v>16.495510137655913</v>
      </c>
      <c r="M27" s="51">
        <f>'C-FCL Real'!L148-M30</f>
        <v>16.573039035302894</v>
      </c>
      <c r="N27" s="51">
        <f>'C-FCL Real'!M148-N30</f>
        <v>16.650932318768817</v>
      </c>
      <c r="O27" s="51">
        <f>'C-FCL Real'!N148-O30</f>
        <v>16.729191700667027</v>
      </c>
      <c r="P27" s="51">
        <f>'C-FCL Real'!O148-P30</f>
        <v>16.807818901660163</v>
      </c>
      <c r="Q27" s="51">
        <f>'C-FCL Real'!P148-Q30</f>
        <v>16.886815650497962</v>
      </c>
      <c r="R27" s="51">
        <f>'C-FCL Real'!Q148-R30</f>
        <v>16.966183684055302</v>
      </c>
      <c r="S27" s="51">
        <f>'C-FCL Real'!O148-S30</f>
        <v>16.807818901660163</v>
      </c>
      <c r="T27" s="51">
        <f>'C-FCL Real'!P148-T30</f>
        <v>16.886815650497962</v>
      </c>
      <c r="U27" s="51">
        <f>'C-FCL Real'!Q148-U30</f>
        <v>16.966183684055302</v>
      </c>
      <c r="V27" s="51">
        <f>'C-FCL Real'!R148-V30</f>
        <v>17.045924747370364</v>
      </c>
      <c r="W27" s="51">
        <f>'C-FCL Real'!S148-W30</f>
        <v>17.126040593683001</v>
      </c>
      <c r="X27" s="51">
        <f>'C-FCL Real'!T148-X30</f>
        <v>17.206532984473309</v>
      </c>
      <c r="Y27" s="51">
        <f>'C-FCL Real'!U148-Y30</f>
        <v>17.287403689500334</v>
      </c>
      <c r="Z27" s="51">
        <f>'C-FCL Real'!V148-Z30</f>
        <v>17.368654486840981</v>
      </c>
      <c r="AA27" s="51">
        <f>'C-FCL Real'!W148-AA30</f>
        <v>17.450287162929129</v>
      </c>
      <c r="AB27" s="51">
        <f>'C-FCL Real'!X148-AB30</f>
        <v>17.532303512594897</v>
      </c>
      <c r="AC27" s="51">
        <f>'C-FCL Real'!Y148-AC30</f>
        <v>17.614705339104095</v>
      </c>
      <c r="AD27" s="51">
        <f>'C-FCL Real'!Z148-AD30</f>
        <v>17.697494454197884</v>
      </c>
      <c r="AE27" s="51">
        <f>'C-FCL Real'!AA148-AE30</f>
        <v>17.780672678132611</v>
      </c>
      <c r="AF27" s="51">
        <f>'C-FCL Real'!AB148-AF30</f>
        <v>17.864241839719835</v>
      </c>
      <c r="AG27" s="51">
        <f>'C-FCL Real'!AC148-AG30</f>
        <v>17.948203776366515</v>
      </c>
      <c r="AH27" s="51">
        <f>'C-FCL Real'!AD148-AH30</f>
        <v>18.032560334115438</v>
      </c>
      <c r="AI27" s="51">
        <f>'C-FCL Real'!AE148-AI30</f>
        <v>18.117313367685782</v>
      </c>
      <c r="AJ27" s="1739">
        <f>'C-FCL Real'!AF148-AJ30</f>
        <v>18.2024647405139</v>
      </c>
      <c r="AK27" s="51">
        <f>'C-FCL Real'!AG148-AK30</f>
        <v>18.28801632479432</v>
      </c>
      <c r="AL27" s="51">
        <f>'C-FCL Real'!AH148-AL30</f>
        <v>18.373970001520846</v>
      </c>
      <c r="AM27" s="51">
        <f>'C-FCL Real'!AI148-AM30</f>
        <v>18.460327660527994</v>
      </c>
      <c r="AN27" s="51">
        <f>'C-FCL Real'!AJ148-AN30</f>
        <v>18.547091200532474</v>
      </c>
      <c r="AO27" s="51">
        <f>'C-FCL Real'!AK148-AO30</f>
        <v>18.634262529174975</v>
      </c>
      <c r="AP27" s="51">
        <f>'C-FCL Real'!AL148-AP30</f>
        <v>18.721843563062095</v>
      </c>
      <c r="AQ27" s="51">
        <f>'C-FCL Real'!AM148-AQ30</f>
        <v>18.809836227808486</v>
      </c>
      <c r="AR27" s="51">
        <f>'C-FCL Real'!AN148-AR30</f>
        <v>18.898242458079185</v>
      </c>
      <c r="AS27" s="51">
        <f>'C-FCL Real'!AO148-AS30</f>
        <v>18.987064197632158</v>
      </c>
      <c r="AT27" s="51">
        <f>'C-FCL Real'!AP148-AT30</f>
        <v>19.076303399361031</v>
      </c>
      <c r="AU27" s="51">
        <f>'C-FCL Real'!AQ148-AU30</f>
        <v>19.165962025338022</v>
      </c>
      <c r="AV27" s="51">
        <f>'C-FCL Real'!AR148-AV30</f>
        <v>19.256042046857107</v>
      </c>
      <c r="AW27" s="51">
        <f>'C-FCL Real'!AS148-AW30</f>
        <v>19.346545444477339</v>
      </c>
      <c r="AX27" s="51">
        <f>'C-FCL Real'!AT148-AX30</f>
        <v>19.437474208066376</v>
      </c>
      <c r="AY27" s="51">
        <f>'C-FCL Real'!AU148-AY30</f>
        <v>19.528830336844287</v>
      </c>
      <c r="AZ27" s="51">
        <f>'C-FCL Real'!AV148-AZ30</f>
        <v>19.620615839427455</v>
      </c>
      <c r="BA27" s="51">
        <f>'C-FCL Real'!AW148-BA30</f>
        <v>19.712832733872759</v>
      </c>
      <c r="BB27" s="51">
        <f>'C-FCL Real'!AX148-BB30</f>
        <v>19.80548304772196</v>
      </c>
      <c r="BC27" s="51">
        <f>'C-FCL Real'!AY148-BC30</f>
        <v>19.898568818046254</v>
      </c>
      <c r="BD27" s="51">
        <f>'C-FCL Real'!AZ148-BD30</f>
        <v>19.992092091491067</v>
      </c>
      <c r="BE27" s="51">
        <f>'C-FCL Real'!BA148-BE30</f>
        <v>20.086054924321076</v>
      </c>
      <c r="BF27" s="51">
        <f>'C-FCL Real'!BB148-BF30</f>
        <v>20.180459382465383</v>
      </c>
      <c r="BG27" s="51">
        <f>'C-FCL Real'!BC148-BG30</f>
        <v>20.275307541562967</v>
      </c>
      <c r="BH27" s="51">
        <f>'C-FCL Real'!BD148-BH30</f>
        <v>0</v>
      </c>
    </row>
    <row r="28" spans="1:60" ht="15" hidden="1" customHeight="1" outlineLevel="1" x14ac:dyDescent="0.3">
      <c r="A28" s="1823">
        <f>C28*1000000/$C$16</f>
        <v>174.23468148216207</v>
      </c>
      <c r="B28" s="1847" t="s">
        <v>1010</v>
      </c>
      <c r="C28" s="1808">
        <f>SUMIF($D$15:$BG$15,1,D28:BG28)</f>
        <v>511.44643849516228</v>
      </c>
      <c r="D28" s="1804">
        <f t="shared" ref="D28:AJ28" si="3">NPV($C$8,D27:D27)</f>
        <v>14.478033496412406</v>
      </c>
      <c r="E28" s="51">
        <f t="shared" si="3"/>
        <v>14.546080253845545</v>
      </c>
      <c r="F28" s="51">
        <f t="shared" si="3"/>
        <v>14.614446831038618</v>
      </c>
      <c r="G28" s="51">
        <f t="shared" si="3"/>
        <v>14.6831347311445</v>
      </c>
      <c r="H28" s="51">
        <f t="shared" si="3"/>
        <v>14.752145464380876</v>
      </c>
      <c r="I28" s="51">
        <f t="shared" si="3"/>
        <v>14.821480548063466</v>
      </c>
      <c r="J28" s="51">
        <f t="shared" si="3"/>
        <v>14.891141506639364</v>
      </c>
      <c r="K28" s="51">
        <f t="shared" si="3"/>
        <v>14.961129871720571</v>
      </c>
      <c r="L28" s="51">
        <f t="shared" si="3"/>
        <v>15.031447182117654</v>
      </c>
      <c r="M28" s="51">
        <f t="shared" si="3"/>
        <v>15.102094983873606</v>
      </c>
      <c r="N28" s="51">
        <f t="shared" si="3"/>
        <v>15.173074830297811</v>
      </c>
      <c r="O28" s="51">
        <f t="shared" si="3"/>
        <v>15.244388282000207</v>
      </c>
      <c r="P28" s="51">
        <f t="shared" si="3"/>
        <v>15.316036906925609</v>
      </c>
      <c r="Q28" s="51">
        <f t="shared" si="3"/>
        <v>15.388022280388157</v>
      </c>
      <c r="R28" s="51">
        <f t="shared" si="3"/>
        <v>15.460345985105981</v>
      </c>
      <c r="S28" s="51">
        <f t="shared" si="3"/>
        <v>15.316036906925609</v>
      </c>
      <c r="T28" s="51">
        <f t="shared" si="3"/>
        <v>15.388022280388157</v>
      </c>
      <c r="U28" s="51">
        <f t="shared" si="3"/>
        <v>15.460345985105981</v>
      </c>
      <c r="V28" s="51">
        <f t="shared" si="3"/>
        <v>15.533009611235981</v>
      </c>
      <c r="W28" s="51">
        <f t="shared" si="3"/>
        <v>15.606014756408786</v>
      </c>
      <c r="X28" s="51">
        <f t="shared" si="3"/>
        <v>15.679363025763905</v>
      </c>
      <c r="Y28" s="51">
        <f t="shared" si="3"/>
        <v>15.753056031984997</v>
      </c>
      <c r="Z28" s="51">
        <f t="shared" si="3"/>
        <v>15.827095395335322</v>
      </c>
      <c r="AA28" s="51">
        <f t="shared" si="3"/>
        <v>15.901482743693395</v>
      </c>
      <c r="AB28" s="51">
        <f t="shared" si="3"/>
        <v>15.976219712588753</v>
      </c>
      <c r="AC28" s="51">
        <f t="shared" si="3"/>
        <v>16.051307945237923</v>
      </c>
      <c r="AD28" s="51">
        <f t="shared" si="3"/>
        <v>16.126749092580539</v>
      </c>
      <c r="AE28" s="51">
        <f t="shared" si="3"/>
        <v>16.202544813315665</v>
      </c>
      <c r="AF28" s="51">
        <f t="shared" si="3"/>
        <v>16.27869677393825</v>
      </c>
      <c r="AG28" s="51">
        <f t="shared" si="3"/>
        <v>16.355206648775759</v>
      </c>
      <c r="AH28" s="51">
        <f t="shared" si="3"/>
        <v>16.432076120025002</v>
      </c>
      <c r="AI28" s="51">
        <f t="shared" si="3"/>
        <v>16.509306877789122</v>
      </c>
      <c r="AJ28" s="1739">
        <f t="shared" si="3"/>
        <v>16.586900620114726</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3">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3">
      <c r="A30" s="1823">
        <f>C30*1000000/$C$16</f>
        <v>23.499153036216423</v>
      </c>
      <c r="B30" s="1794" t="str">
        <f>'C-FCL Real'!B149</f>
        <v>Receita do Ente Público pela disposição do RPU</v>
      </c>
      <c r="C30" s="1809">
        <f>SUMIF($D$15:$BG$15,1,D30:BG30)</f>
        <v>68.979137940778543</v>
      </c>
      <c r="D30" s="1804">
        <f>'C-FCL Real'!C149</f>
        <v>1.8329339368248809</v>
      </c>
      <c r="E30" s="51">
        <f>'C-FCL Real'!D149</f>
        <v>1.8415487263279577</v>
      </c>
      <c r="F30" s="51">
        <f>'C-FCL Real'!E149</f>
        <v>1.850204005341699</v>
      </c>
      <c r="G30" s="51">
        <f>'C-FCL Real'!F149</f>
        <v>1.8588999641668049</v>
      </c>
      <c r="H30" s="51">
        <f>'C-FCL Real'!G149</f>
        <v>1.8676367939983887</v>
      </c>
      <c r="I30" s="51">
        <f>'C-FCL Real'!H149</f>
        <v>1.876414686930181</v>
      </c>
      <c r="J30" s="51">
        <f>'C-FCL Real'!I149</f>
        <v>1.8852338359587526</v>
      </c>
      <c r="K30" s="51">
        <f>'C-FCL Real'!J149</f>
        <v>1.8940944349877586</v>
      </c>
      <c r="L30" s="51">
        <f>'C-FCL Real'!K149</f>
        <v>1.902996678832201</v>
      </c>
      <c r="M30" s="51">
        <f>'C-FCL Real'!L149</f>
        <v>1.9119407632227123</v>
      </c>
      <c r="N30" s="51">
        <f>'C-FCL Real'!M149</f>
        <v>1.9209268848098588</v>
      </c>
      <c r="O30" s="51">
        <f>'C-FCL Real'!N149</f>
        <v>1.9299552411684651</v>
      </c>
      <c r="P30" s="51">
        <f>'C-FCL Real'!O149</f>
        <v>1.9390260308019567</v>
      </c>
      <c r="Q30" s="51">
        <f>'C-FCL Real'!P149</f>
        <v>1.9481394531467258</v>
      </c>
      <c r="R30" s="51">
        <f>'C-FCL Real'!Q149</f>
        <v>1.9572957085765152</v>
      </c>
      <c r="S30" s="51">
        <f>'C-FCL Real'!O149</f>
        <v>1.9390260308019567</v>
      </c>
      <c r="T30" s="51">
        <f>'C-FCL Real'!P149</f>
        <v>1.9481394531467258</v>
      </c>
      <c r="U30" s="51">
        <f>'C-FCL Real'!Q149</f>
        <v>1.9572957085765152</v>
      </c>
      <c r="V30" s="51">
        <f>'C-FCL Real'!R149</f>
        <v>1.9664949984068247</v>
      </c>
      <c r="W30" s="51">
        <f>'C-FCL Real'!S149</f>
        <v>1.9757375248993367</v>
      </c>
      <c r="X30" s="51">
        <f>'C-FCL Real'!T149</f>
        <v>1.9850234912663636</v>
      </c>
      <c r="Y30" s="51">
        <f>'C-FCL Real'!U149</f>
        <v>1.9943531016753153</v>
      </c>
      <c r="Z30" s="51">
        <f>'C-FCL Real'!V149</f>
        <v>2.0037265612531892</v>
      </c>
      <c r="AA30" s="51">
        <f>'C-FCL Real'!W149</f>
        <v>2.0131440760910788</v>
      </c>
      <c r="AB30" s="51">
        <f>'C-FCL Real'!X149</f>
        <v>2.0226058532487068</v>
      </c>
      <c r="AC30" s="51">
        <f>'C-FCL Real'!Y149</f>
        <v>2.0321121007589755</v>
      </c>
      <c r="AD30" s="51">
        <f>'C-FCL Real'!Z149</f>
        <v>2.0416630276325427</v>
      </c>
      <c r="AE30" s="51">
        <f>'C-FCL Real'!AA149</f>
        <v>2.0512588438624153</v>
      </c>
      <c r="AF30" s="51">
        <f>'C-FCL Real'!AB149</f>
        <v>2.0608997604285686</v>
      </c>
      <c r="AG30" s="51">
        <f>'C-FCL Real'!AC149</f>
        <v>2.0705859893025829</v>
      </c>
      <c r="AH30" s="51">
        <f>'C-FCL Real'!AD149</f>
        <v>2.080317743452305</v>
      </c>
      <c r="AI30" s="51">
        <f>'C-FCL Real'!AE149</f>
        <v>2.0900952368465306</v>
      </c>
      <c r="AJ30" s="1739">
        <f>'C-FCL Real'!AF149</f>
        <v>2.0999186844597091</v>
      </c>
      <c r="AK30" s="51">
        <f>'C-FCL Real'!AG149</f>
        <v>2.1097883022766695</v>
      </c>
      <c r="AL30" s="51">
        <f>'C-FCL Real'!AH149</f>
        <v>2.1197043072973698</v>
      </c>
      <c r="AM30" s="51">
        <f>'C-FCL Real'!AI149</f>
        <v>2.1296669175416674</v>
      </c>
      <c r="AN30" s="51">
        <f>'C-FCL Real'!AJ149</f>
        <v>2.1396763520541131</v>
      </c>
      <c r="AO30" s="51">
        <f>'C-FCL Real'!AK149</f>
        <v>2.1497328309087673</v>
      </c>
      <c r="AP30" s="51">
        <f>'C-FCL Real'!AL149</f>
        <v>2.1598365752140385</v>
      </c>
      <c r="AQ30" s="51">
        <f>'C-FCL Real'!AM149</f>
        <v>2.1699878071175442</v>
      </c>
      <c r="AR30" s="51">
        <f>'C-FCL Real'!AN149</f>
        <v>2.1801867498109964</v>
      </c>
      <c r="AS30" s="51">
        <f>'C-FCL Real'!AO149</f>
        <v>2.190433627535108</v>
      </c>
      <c r="AT30" s="51">
        <f>'C-FCL Real'!AP149</f>
        <v>2.2007286655845228</v>
      </c>
      <c r="AU30" s="51">
        <f>'C-FCL Real'!AQ149</f>
        <v>2.2110720903127699</v>
      </c>
      <c r="AV30" s="51">
        <f>'C-FCL Real'!AR149</f>
        <v>2.2214641291372397</v>
      </c>
      <c r="AW30" s="51">
        <f>'C-FCL Real'!AS149</f>
        <v>2.2319050105441844</v>
      </c>
      <c r="AX30" s="51">
        <f>'C-FCL Real'!AT149</f>
        <v>2.2423949640937417</v>
      </c>
      <c r="AY30" s="51">
        <f>'C-FCL Real'!AU149</f>
        <v>2.252934220424982</v>
      </c>
      <c r="AZ30" s="51">
        <f>'C-FCL Real'!AV149</f>
        <v>2.2635230112609794</v>
      </c>
      <c r="BA30" s="51">
        <f>'C-FCL Real'!AW149</f>
        <v>2.2741615694139057</v>
      </c>
      <c r="BB30" s="51">
        <f>'C-FCL Real'!AX149</f>
        <v>2.284850128790151</v>
      </c>
      <c r="BC30" s="51">
        <f>'C-FCL Real'!AY149</f>
        <v>2.2955889243954646</v>
      </c>
      <c r="BD30" s="51">
        <f>'C-FCL Real'!AZ149</f>
        <v>2.306378192340123</v>
      </c>
      <c r="BE30" s="51">
        <f>'C-FCL Real'!BA149</f>
        <v>2.3172181698441214</v>
      </c>
      <c r="BF30" s="51">
        <f>'C-FCL Real'!BB149</f>
        <v>2.3281090952423886</v>
      </c>
      <c r="BG30" s="51">
        <f>'C-FCL Real'!BC149</f>
        <v>2.3390512079900279</v>
      </c>
      <c r="BH30" s="51">
        <f>'C-FCL Real'!BD149</f>
        <v>0</v>
      </c>
    </row>
    <row r="31" spans="1:60" ht="15" hidden="1" customHeight="1" outlineLevel="1" x14ac:dyDescent="0.3">
      <c r="A31" s="1823">
        <f>C31*1000000/$C$16</f>
        <v>20.10050113218615</v>
      </c>
      <c r="B31" s="1847" t="s">
        <v>1011</v>
      </c>
      <c r="C31" s="1808">
        <f>SUMIF($D$15:$BG$15,1,D31:BG31)</f>
        <v>59.002775042103615</v>
      </c>
      <c r="D31" s="1804">
        <f t="shared" ref="D31:AJ31" si="4">NPV($C$8,D30:D30)</f>
        <v>1.6702514459858584</v>
      </c>
      <c r="E31" s="51">
        <f t="shared" si="4"/>
        <v>1.6781016277819918</v>
      </c>
      <c r="F31" s="51">
        <f t="shared" si="4"/>
        <v>1.6859887054325671</v>
      </c>
      <c r="G31" s="51">
        <f t="shared" si="4"/>
        <v>1.6939128523481002</v>
      </c>
      <c r="H31" s="51">
        <f t="shared" si="4"/>
        <v>1.701874242754136</v>
      </c>
      <c r="I31" s="51">
        <f t="shared" si="4"/>
        <v>1.7098730516950802</v>
      </c>
      <c r="J31" s="51">
        <f t="shared" si="4"/>
        <v>1.7179094550380469</v>
      </c>
      <c r="K31" s="51">
        <f t="shared" si="4"/>
        <v>1.7259836294767257</v>
      </c>
      <c r="L31" s="51">
        <f t="shared" si="4"/>
        <v>1.7340957525352663</v>
      </c>
      <c r="M31" s="51">
        <f t="shared" si="4"/>
        <v>1.742246002572182</v>
      </c>
      <c r="N31" s="51">
        <f t="shared" si="4"/>
        <v>1.7504345587842709</v>
      </c>
      <c r="O31" s="51">
        <f t="shared" si="4"/>
        <v>1.7586616012105569</v>
      </c>
      <c r="P31" s="51">
        <f t="shared" si="4"/>
        <v>1.7669273107362464</v>
      </c>
      <c r="Q31" s="51">
        <f t="shared" si="4"/>
        <v>1.7752318690967066</v>
      </c>
      <c r="R31" s="51">
        <f t="shared" si="4"/>
        <v>1.783575458881461</v>
      </c>
      <c r="S31" s="51">
        <f t="shared" si="4"/>
        <v>1.7669273107362464</v>
      </c>
      <c r="T31" s="51">
        <f t="shared" si="4"/>
        <v>1.7752318690967066</v>
      </c>
      <c r="U31" s="51">
        <f t="shared" si="4"/>
        <v>1.783575458881461</v>
      </c>
      <c r="V31" s="51">
        <f t="shared" si="4"/>
        <v>1.7919582635382039</v>
      </c>
      <c r="W31" s="51">
        <f t="shared" si="4"/>
        <v>1.8003804673768333</v>
      </c>
      <c r="X31" s="51">
        <f t="shared" si="4"/>
        <v>1.8088422555735044</v>
      </c>
      <c r="Y31" s="51">
        <f t="shared" si="4"/>
        <v>1.8173438141746996</v>
      </c>
      <c r="Z31" s="51">
        <f t="shared" si="4"/>
        <v>1.8258853301013207</v>
      </c>
      <c r="AA31" s="51">
        <f t="shared" si="4"/>
        <v>1.8344669911527967</v>
      </c>
      <c r="AB31" s="51">
        <f t="shared" si="4"/>
        <v>1.8430889860112145</v>
      </c>
      <c r="AC31" s="51">
        <f t="shared" si="4"/>
        <v>1.8517515042454671</v>
      </c>
      <c r="AD31" s="51">
        <f t="shared" si="4"/>
        <v>1.8604547363154209</v>
      </c>
      <c r="AE31" s="51">
        <f t="shared" si="4"/>
        <v>1.8691988735761029</v>
      </c>
      <c r="AF31" s="51">
        <f t="shared" si="4"/>
        <v>1.8779841082819106</v>
      </c>
      <c r="AG31" s="51">
        <f t="shared" si="4"/>
        <v>1.8868106335908357</v>
      </c>
      <c r="AH31" s="51">
        <f t="shared" si="4"/>
        <v>1.8956786435687125</v>
      </c>
      <c r="AI31" s="51">
        <f t="shared" si="4"/>
        <v>1.9045883331934854</v>
      </c>
      <c r="AJ31" s="1739">
        <f t="shared" si="4"/>
        <v>1.9135398983594945</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3">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3">
      <c r="A33" s="1823">
        <f>C33*1000000/$C$16</f>
        <v>-50.806926188532181</v>
      </c>
      <c r="B33" s="1794" t="s">
        <v>1004</v>
      </c>
      <c r="C33" s="1809">
        <f>SUMIF($D$15:$BG$15,1,D33:BG33)</f>
        <v>-149.1380546568835</v>
      </c>
      <c r="D33" s="1804">
        <f>'C-FCL Real'!C153</f>
        <v>-25.218086063487345</v>
      </c>
      <c r="E33" s="51">
        <f>'C-FCL Real'!D153</f>
        <v>-31.466983980977034</v>
      </c>
      <c r="F33" s="51">
        <f>'C-FCL Real'!E153</f>
        <v>-40.271330615419444</v>
      </c>
      <c r="G33" s="51">
        <f>'C-FCL Real'!F153</f>
        <v>-2.8300297574463116</v>
      </c>
      <c r="H33" s="51">
        <f>'C-FCL Real'!G153</f>
        <v>-2.7455605489611301</v>
      </c>
      <c r="I33" s="51">
        <f>'C-FCL Real'!H153</f>
        <v>-2.6606943351960624</v>
      </c>
      <c r="J33" s="51">
        <f>'C-FCL Real'!I153</f>
        <v>-2.5754292502262999</v>
      </c>
      <c r="K33" s="51">
        <f>'C-FCL Real'!J153</f>
        <v>-2.4897634193571818</v>
      </c>
      <c r="L33" s="51">
        <f>'C-FCL Real'!K153</f>
        <v>-2.4036949590829764</v>
      </c>
      <c r="M33" s="51">
        <f>'C-FCL Real'!L153</f>
        <v>-2.3172219770454845</v>
      </c>
      <c r="N33" s="51">
        <f>'C-FCL Real'!M153</f>
        <v>-2.2303425719924164</v>
      </c>
      <c r="O33" s="51">
        <f>'C-FCL Real'!N153</f>
        <v>-2.1430548337356008</v>
      </c>
      <c r="P33" s="51">
        <f>'C-FCL Real'!O153</f>
        <v>-2.0553568431089744</v>
      </c>
      <c r="Q33" s="51">
        <f>'C-FCL Real'!P153</f>
        <v>-1.9672466719264037</v>
      </c>
      <c r="R33" s="51">
        <f>'C-FCL Real'!Q153</f>
        <v>-1.878722382939273</v>
      </c>
      <c r="S33" s="51">
        <f>'C-FCL Real'!O153</f>
        <v>-2.0553568431089744</v>
      </c>
      <c r="T33" s="51">
        <f>'C-FCL Real'!P153</f>
        <v>-1.9672466719264037</v>
      </c>
      <c r="U33" s="51">
        <f>'C-FCL Real'!Q153</f>
        <v>-1.878722382939273</v>
      </c>
      <c r="V33" s="51">
        <f>'C-FCL Real'!R153</f>
        <v>-1.7897820297939049</v>
      </c>
      <c r="W33" s="51">
        <f>'C-FCL Real'!S153</f>
        <v>-1.7004236569887539</v>
      </c>
      <c r="X33" s="51">
        <f>'C-FCL Real'!T153</f>
        <v>-1.6106452998314182</v>
      </c>
      <c r="Y33" s="51">
        <f>'C-FCL Real'!U153</f>
        <v>-1.5204449843954428</v>
      </c>
      <c r="Z33" s="51">
        <f>'C-FCL Real'!V153</f>
        <v>-1.4298207274769226</v>
      </c>
      <c r="AA33" s="51">
        <f>'C-FCL Real'!W153</f>
        <v>-1.3387705365508822</v>
      </c>
      <c r="AB33" s="51">
        <f>'C-FCL Real'!X153</f>
        <v>-1.2472924097274891</v>
      </c>
      <c r="AC33" s="51">
        <f>'C-FCL Real'!Y153</f>
        <v>-1.1553843357080211</v>
      </c>
      <c r="AD33" s="51">
        <f>'C-FCL Real'!Z153</f>
        <v>-1.063044293740667</v>
      </c>
      <c r="AE33" s="51">
        <f>'C-FCL Real'!AA153</f>
        <v>-0.97027025357606789</v>
      </c>
      <c r="AF33" s="51">
        <f>'C-FCL Real'!AB153</f>
        <v>-0.8770601754226881</v>
      </c>
      <c r="AG33" s="51">
        <f>'C-FCL Real'!AC153</f>
        <v>-0.78341200990199411</v>
      </c>
      <c r="AH33" s="51">
        <f>'C-FCL Real'!AD153</f>
        <v>-0.68932369800334925</v>
      </c>
      <c r="AI33" s="51">
        <f>'C-FCL Real'!AE153</f>
        <v>-0.5947931710387806</v>
      </c>
      <c r="AJ33" s="1739">
        <f>'C-FCL Real'!AF153</f>
        <v>-0.49981835059748292</v>
      </c>
      <c r="AK33" s="51">
        <f>'C-FCL Real'!AG153</f>
        <v>-0.40439714850010233</v>
      </c>
      <c r="AL33" s="51">
        <f>'C-FCL Real'!AH153</f>
        <v>-0.3085274667528779</v>
      </c>
      <c r="AM33" s="51">
        <f>'C-FCL Real'!AI153</f>
        <v>-0.21220719750143147</v>
      </c>
      <c r="AN33" s="51">
        <f>'C-FCL Real'!AJ153</f>
        <v>-0.11543422298450423</v>
      </c>
      <c r="AO33" s="51">
        <f>'C-FCL Real'!AK153</f>
        <v>-1.8206415487348693E-2</v>
      </c>
      <c r="AP33" s="51">
        <f>'C-FCL Real'!AL153</f>
        <v>7.9478362705039274E-2</v>
      </c>
      <c r="AQ33" s="51">
        <f>'C-FCL Real'!AM153</f>
        <v>0.17762225935493703</v>
      </c>
      <c r="AR33" s="51">
        <f>'C-FCL Real'!AN153</f>
        <v>0.27622743231908942</v>
      </c>
      <c r="AS33" s="51">
        <f>'C-FCL Real'!AO153</f>
        <v>0.37529604959617302</v>
      </c>
      <c r="AT33" s="51">
        <f>'C-FCL Real'!AP153</f>
        <v>0.47483028937446292</v>
      </c>
      <c r="AU33" s="51">
        <f>'C-FCL Real'!AQ153</f>
        <v>0.57483234007969841</v>
      </c>
      <c r="AV33" s="51">
        <f>'C-FCL Real'!AR153</f>
        <v>0.67530440042325424</v>
      </c>
      <c r="AW33" s="51">
        <f>'C-FCL Real'!AS153</f>
        <v>0.77624867945043263</v>
      </c>
      <c r="AX33" s="51">
        <f>'C-FCL Real'!AT153</f>
        <v>0.87766739658902537</v>
      </c>
      <c r="AY33" s="51">
        <f>'C-FCL Real'!AU153</f>
        <v>0.97956278169817779</v>
      </c>
      <c r="AZ33" s="51">
        <f>'C-FCL Real'!AV153</f>
        <v>1.0819370751173416</v>
      </c>
      <c r="BA33" s="51">
        <f>'C-FCL Real'!AW153</f>
        <v>1.1847925277155724</v>
      </c>
      <c r="BB33" s="51">
        <f>'C-FCL Real'!AX153</f>
        <v>1.288131400941019</v>
      </c>
      <c r="BC33" s="51">
        <f>'C-FCL Real'!AY153</f>
        <v>1.3919559668706256</v>
      </c>
      <c r="BD33" s="51">
        <f>'C-FCL Real'!AZ153</f>
        <v>1.4962685082600977</v>
      </c>
      <c r="BE33" s="51">
        <f>'C-FCL Real'!BA153</f>
        <v>1.601071318594105</v>
      </c>
      <c r="BF33" s="51">
        <f>'C-FCL Real'!BB153</f>
        <v>1.7063667021366804</v>
      </c>
      <c r="BG33" s="51">
        <f>'C-FCL Real'!BC153</f>
        <v>1.812156973981903</v>
      </c>
      <c r="BH33" s="51">
        <f>'C-FCL Real'!BD153</f>
        <v>0</v>
      </c>
    </row>
    <row r="34" spans="1:60" ht="15" hidden="1" customHeight="1" outlineLevel="1" x14ac:dyDescent="0.3">
      <c r="A34" s="1823">
        <f>C34*1000000/$C$16</f>
        <v>-46.076229131233312</v>
      </c>
      <c r="B34" s="1847" t="s">
        <v>1012</v>
      </c>
      <c r="C34" s="1808">
        <f>SUMIF($D$15:$BG$15,1,D34:BG34)</f>
        <v>-135.25162205360894</v>
      </c>
      <c r="D34" s="1804">
        <f t="shared" ref="D34:AJ34" si="5">NPV($C$8,D33:D33)</f>
        <v>-22.979848791222295</v>
      </c>
      <c r="E34" s="51">
        <f t="shared" si="5"/>
        <v>-28.674124276450733</v>
      </c>
      <c r="F34" s="51">
        <f t="shared" si="5"/>
        <v>-36.697039015326631</v>
      </c>
      <c r="G34" s="51">
        <f t="shared" si="5"/>
        <v>-2.5788497880866701</v>
      </c>
      <c r="H34" s="51">
        <f t="shared" si="5"/>
        <v>-2.5018776644442595</v>
      </c>
      <c r="I34" s="51">
        <f t="shared" si="5"/>
        <v>-2.4245437718207241</v>
      </c>
      <c r="J34" s="51">
        <f t="shared" si="5"/>
        <v>-2.3468464099018589</v>
      </c>
      <c r="K34" s="51">
        <f t="shared" si="5"/>
        <v>-2.2687838703819776</v>
      </c>
      <c r="L34" s="51">
        <f t="shared" si="5"/>
        <v>-2.1903544369263499</v>
      </c>
      <c r="M34" s="51">
        <f t="shared" si="5"/>
        <v>-2.1115563851334835</v>
      </c>
      <c r="N34" s="51">
        <f t="shared" si="5"/>
        <v>-2.0323879824971902</v>
      </c>
      <c r="O34" s="51">
        <f t="shared" si="5"/>
        <v>-1.9528474883685083</v>
      </c>
      <c r="P34" s="51">
        <f t="shared" si="5"/>
        <v>-1.8729331539174179</v>
      </c>
      <c r="Q34" s="51">
        <f t="shared" si="5"/>
        <v>-1.7926432220944084</v>
      </c>
      <c r="R34" s="51">
        <f t="shared" si="5"/>
        <v>-1.7119759275918289</v>
      </c>
      <c r="S34" s="51">
        <f t="shared" si="5"/>
        <v>-1.8729331539174179</v>
      </c>
      <c r="T34" s="51">
        <f t="shared" si="5"/>
        <v>-1.7926432220944084</v>
      </c>
      <c r="U34" s="51">
        <f t="shared" si="5"/>
        <v>-1.7119759275918289</v>
      </c>
      <c r="V34" s="51">
        <f t="shared" si="5"/>
        <v>-1.6309294968050894</v>
      </c>
      <c r="W34" s="51">
        <f t="shared" si="5"/>
        <v>-1.5495021477936521</v>
      </c>
      <c r="X34" s="51">
        <f t="shared" si="5"/>
        <v>-1.4676920902418611</v>
      </c>
      <c r="Y34" s="51">
        <f t="shared" si="5"/>
        <v>-1.3854975254195763</v>
      </c>
      <c r="Z34" s="51">
        <f t="shared" si="5"/>
        <v>-1.3029166461426305</v>
      </c>
      <c r="AA34" s="51">
        <f t="shared" si="5"/>
        <v>-1.2199476367330802</v>
      </c>
      <c r="AB34" s="51">
        <f t="shared" si="5"/>
        <v>-1.1365886729793049</v>
      </c>
      <c r="AC34" s="51">
        <f t="shared" si="5"/>
        <v>-1.0528379220958823</v>
      </c>
      <c r="AD34" s="51">
        <f t="shared" si="5"/>
        <v>-0.96869354268331243</v>
      </c>
      <c r="AE34" s="51">
        <f t="shared" si="5"/>
        <v>-0.88415368468750499</v>
      </c>
      <c r="AF34" s="51">
        <f t="shared" si="5"/>
        <v>-0.79921648935911072</v>
      </c>
      <c r="AG34" s="51">
        <f t="shared" si="5"/>
        <v>-0.7138800892126792</v>
      </c>
      <c r="AH34" s="51">
        <f t="shared" si="5"/>
        <v>-0.6281426079855561</v>
      </c>
      <c r="AI34" s="51">
        <f t="shared" si="5"/>
        <v>-0.54200216059666539</v>
      </c>
      <c r="AJ34" s="1739">
        <f t="shared" si="5"/>
        <v>-0.45545685310505096</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3">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3">
      <c r="A36" s="1823">
        <f>C36*1000000/$C$16</f>
        <v>0</v>
      </c>
      <c r="B36" s="1795" t="s">
        <v>1014</v>
      </c>
      <c r="C36" s="1809">
        <f>SUMIF($D$15:$BG$15,1,D36:BG36)</f>
        <v>0</v>
      </c>
      <c r="D36" s="1804">
        <f>IF(D33&gt;0,D33*0.34,0)</f>
        <v>0</v>
      </c>
      <c r="E36" s="51">
        <f t="shared" ref="E36:BG36" si="6">IF(E33&gt;0,E33*0.34,0)</f>
        <v>0</v>
      </c>
      <c r="F36" s="51">
        <f t="shared" si="6"/>
        <v>0</v>
      </c>
      <c r="G36" s="51">
        <f t="shared" si="6"/>
        <v>0</v>
      </c>
      <c r="H36" s="51">
        <f t="shared" si="6"/>
        <v>0</v>
      </c>
      <c r="I36" s="51">
        <f t="shared" si="6"/>
        <v>0</v>
      </c>
      <c r="J36" s="51">
        <f t="shared" si="6"/>
        <v>0</v>
      </c>
      <c r="K36" s="51">
        <f t="shared" si="6"/>
        <v>0</v>
      </c>
      <c r="L36" s="51">
        <f t="shared" si="6"/>
        <v>0</v>
      </c>
      <c r="M36" s="51">
        <f t="shared" si="6"/>
        <v>0</v>
      </c>
      <c r="N36" s="51">
        <f t="shared" si="6"/>
        <v>0</v>
      </c>
      <c r="O36" s="51">
        <f t="shared" si="6"/>
        <v>0</v>
      </c>
      <c r="P36" s="51">
        <f>IF(P33&gt;0,P33*0.34,0)</f>
        <v>0</v>
      </c>
      <c r="Q36" s="51">
        <f>IF(Q33&gt;0,Q33*0.34,0)</f>
        <v>0</v>
      </c>
      <c r="R36" s="51">
        <f>IF(R33&gt;0,R33*0.34,0)</f>
        <v>0</v>
      </c>
      <c r="S36" s="51">
        <f t="shared" si="6"/>
        <v>0</v>
      </c>
      <c r="T36" s="51">
        <f t="shared" si="6"/>
        <v>0</v>
      </c>
      <c r="U36" s="51">
        <f t="shared" si="6"/>
        <v>0</v>
      </c>
      <c r="V36" s="51">
        <f t="shared" si="6"/>
        <v>0</v>
      </c>
      <c r="W36" s="51">
        <f t="shared" si="6"/>
        <v>0</v>
      </c>
      <c r="X36" s="51">
        <f t="shared" si="6"/>
        <v>0</v>
      </c>
      <c r="Y36" s="51">
        <f t="shared" si="6"/>
        <v>0</v>
      </c>
      <c r="Z36" s="51">
        <f t="shared" si="6"/>
        <v>0</v>
      </c>
      <c r="AA36" s="51">
        <f t="shared" si="6"/>
        <v>0</v>
      </c>
      <c r="AB36" s="51">
        <f t="shared" si="6"/>
        <v>0</v>
      </c>
      <c r="AC36" s="51">
        <f t="shared" si="6"/>
        <v>0</v>
      </c>
      <c r="AD36" s="51">
        <f t="shared" si="6"/>
        <v>0</v>
      </c>
      <c r="AE36" s="51">
        <f t="shared" si="6"/>
        <v>0</v>
      </c>
      <c r="AF36" s="51">
        <f t="shared" si="6"/>
        <v>0</v>
      </c>
      <c r="AG36" s="51">
        <f t="shared" si="6"/>
        <v>0</v>
      </c>
      <c r="AH36" s="51">
        <f t="shared" si="6"/>
        <v>0</v>
      </c>
      <c r="AI36" s="51">
        <f t="shared" si="6"/>
        <v>0</v>
      </c>
      <c r="AJ36" s="1739">
        <f t="shared" si="6"/>
        <v>0</v>
      </c>
      <c r="AK36" s="51">
        <f t="shared" si="6"/>
        <v>0</v>
      </c>
      <c r="AL36" s="51">
        <f t="shared" si="6"/>
        <v>0</v>
      </c>
      <c r="AM36" s="51">
        <f t="shared" si="6"/>
        <v>0</v>
      </c>
      <c r="AN36" s="51">
        <f t="shared" si="6"/>
        <v>0</v>
      </c>
      <c r="AO36" s="51">
        <f t="shared" si="6"/>
        <v>0</v>
      </c>
      <c r="AP36" s="51">
        <f t="shared" si="6"/>
        <v>2.7022643319713355E-2</v>
      </c>
      <c r="AQ36" s="51">
        <f t="shared" si="6"/>
        <v>6.0391568180678597E-2</v>
      </c>
      <c r="AR36" s="51">
        <f t="shared" si="6"/>
        <v>9.391732698849041E-2</v>
      </c>
      <c r="AS36" s="51">
        <f t="shared" si="6"/>
        <v>0.12760065686269884</v>
      </c>
      <c r="AT36" s="51">
        <f t="shared" si="6"/>
        <v>0.16144229838731741</v>
      </c>
      <c r="AU36" s="51">
        <f t="shared" si="6"/>
        <v>0.19544299562709747</v>
      </c>
      <c r="AV36" s="51">
        <f t="shared" si="6"/>
        <v>0.22960349614390646</v>
      </c>
      <c r="AW36" s="51">
        <f t="shared" si="6"/>
        <v>0.2639245510131471</v>
      </c>
      <c r="AX36" s="51">
        <f t="shared" si="6"/>
        <v>0.29840691484026866</v>
      </c>
      <c r="AY36" s="51">
        <f t="shared" si="6"/>
        <v>0.33305134577738049</v>
      </c>
      <c r="AZ36" s="51">
        <f t="shared" si="6"/>
        <v>0.36785860553989619</v>
      </c>
      <c r="BA36" s="51">
        <f t="shared" si="6"/>
        <v>0.40282945942329468</v>
      </c>
      <c r="BB36" s="51">
        <f t="shared" si="6"/>
        <v>0.43796467631994646</v>
      </c>
      <c r="BC36" s="51">
        <f t="shared" si="6"/>
        <v>0.47326502873601273</v>
      </c>
      <c r="BD36" s="51">
        <f t="shared" si="6"/>
        <v>0.50873129280843321</v>
      </c>
      <c r="BE36" s="51">
        <f t="shared" si="6"/>
        <v>0.5443642483219957</v>
      </c>
      <c r="BF36" s="51">
        <f t="shared" si="6"/>
        <v>0.58016467872647137</v>
      </c>
      <c r="BG36" s="51">
        <f t="shared" si="6"/>
        <v>0.61613337115384703</v>
      </c>
      <c r="BH36" s="51">
        <f>BH33*0.34</f>
        <v>0</v>
      </c>
    </row>
    <row r="37" spans="1:60" ht="15" hidden="1" customHeight="1" outlineLevel="1" x14ac:dyDescent="0.3">
      <c r="A37" s="1823">
        <f>C37*1000000/$C$16</f>
        <v>0</v>
      </c>
      <c r="B37" s="1847" t="s">
        <v>1013</v>
      </c>
      <c r="C37" s="1808">
        <f>SUMIF($D$15:$BG$15,1,D37:BG37)</f>
        <v>0</v>
      </c>
      <c r="D37" s="1804">
        <f t="shared" ref="D37:AJ37" si="7">NPV($C$8,D36:D36)</f>
        <v>0</v>
      </c>
      <c r="E37" s="51">
        <f t="shared" si="7"/>
        <v>0</v>
      </c>
      <c r="F37" s="51">
        <f t="shared" si="7"/>
        <v>0</v>
      </c>
      <c r="G37" s="51">
        <f t="shared" si="7"/>
        <v>0</v>
      </c>
      <c r="H37" s="51">
        <f t="shared" si="7"/>
        <v>0</v>
      </c>
      <c r="I37" s="51">
        <f t="shared" si="7"/>
        <v>0</v>
      </c>
      <c r="J37" s="51">
        <f t="shared" si="7"/>
        <v>0</v>
      </c>
      <c r="K37" s="51">
        <f t="shared" si="7"/>
        <v>0</v>
      </c>
      <c r="L37" s="51">
        <f t="shared" si="7"/>
        <v>0</v>
      </c>
      <c r="M37" s="51">
        <f t="shared" si="7"/>
        <v>0</v>
      </c>
      <c r="N37" s="51">
        <f t="shared" si="7"/>
        <v>0</v>
      </c>
      <c r="O37" s="51">
        <f t="shared" si="7"/>
        <v>0</v>
      </c>
      <c r="P37" s="51">
        <f t="shared" si="7"/>
        <v>0</v>
      </c>
      <c r="Q37" s="51">
        <f t="shared" si="7"/>
        <v>0</v>
      </c>
      <c r="R37" s="51">
        <f t="shared" si="7"/>
        <v>0</v>
      </c>
      <c r="S37" s="51">
        <f t="shared" si="7"/>
        <v>0</v>
      </c>
      <c r="T37" s="51">
        <f t="shared" si="7"/>
        <v>0</v>
      </c>
      <c r="U37" s="51">
        <f t="shared" si="7"/>
        <v>0</v>
      </c>
      <c r="V37" s="51">
        <f t="shared" si="7"/>
        <v>0</v>
      </c>
      <c r="W37" s="51">
        <f t="shared" si="7"/>
        <v>0</v>
      </c>
      <c r="X37" s="51">
        <f t="shared" si="7"/>
        <v>0</v>
      </c>
      <c r="Y37" s="51">
        <f t="shared" si="7"/>
        <v>0</v>
      </c>
      <c r="Z37" s="51">
        <f t="shared" si="7"/>
        <v>0</v>
      </c>
      <c r="AA37" s="51">
        <f t="shared" si="7"/>
        <v>0</v>
      </c>
      <c r="AB37" s="51">
        <f t="shared" si="7"/>
        <v>0</v>
      </c>
      <c r="AC37" s="51">
        <f t="shared" si="7"/>
        <v>0</v>
      </c>
      <c r="AD37" s="51">
        <f t="shared" si="7"/>
        <v>0</v>
      </c>
      <c r="AE37" s="51">
        <f t="shared" si="7"/>
        <v>0</v>
      </c>
      <c r="AF37" s="51">
        <f t="shared" si="7"/>
        <v>0</v>
      </c>
      <c r="AG37" s="51">
        <f t="shared" si="7"/>
        <v>0</v>
      </c>
      <c r="AH37" s="51">
        <f t="shared" si="7"/>
        <v>0</v>
      </c>
      <c r="AI37" s="51">
        <f t="shared" si="7"/>
        <v>0</v>
      </c>
      <c r="AJ37" s="1739">
        <f t="shared" si="7"/>
        <v>0</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3">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3">
      <c r="A39" s="1823">
        <f>C39*1000000/$C$16</f>
        <v>-50.806926188532181</v>
      </c>
      <c r="B39" s="1794" t="s">
        <v>1002</v>
      </c>
      <c r="C39" s="1809">
        <f>SUMIF($D$15:$BG$15,1,D39:BG39)</f>
        <v>-149.1380546568835</v>
      </c>
      <c r="D39" s="1804">
        <f>'C-FCL Real'!C156</f>
        <v>-25.218086063487345</v>
      </c>
      <c r="E39" s="51">
        <f>'C-FCL Real'!D156</f>
        <v>-31.466983980977034</v>
      </c>
      <c r="F39" s="51">
        <f>'C-FCL Real'!E156</f>
        <v>-40.271330615419444</v>
      </c>
      <c r="G39" s="51">
        <f>'C-FCL Real'!F156</f>
        <v>-2.8300297574463116</v>
      </c>
      <c r="H39" s="51">
        <f>'C-FCL Real'!G156</f>
        <v>-2.7455605489611301</v>
      </c>
      <c r="I39" s="51">
        <f>'C-FCL Real'!H156</f>
        <v>-2.6606943351960624</v>
      </c>
      <c r="J39" s="51">
        <f>'C-FCL Real'!I156</f>
        <v>-2.5754292502262999</v>
      </c>
      <c r="K39" s="51">
        <f>'C-FCL Real'!J156</f>
        <v>-2.4897634193571818</v>
      </c>
      <c r="L39" s="51">
        <f>'C-FCL Real'!K156</f>
        <v>-2.4036949590829764</v>
      </c>
      <c r="M39" s="51">
        <f>'C-FCL Real'!L156</f>
        <v>-2.3172219770454845</v>
      </c>
      <c r="N39" s="51">
        <f>'C-FCL Real'!M156</f>
        <v>-2.2303425719924164</v>
      </c>
      <c r="O39" s="51">
        <f>'C-FCL Real'!N156</f>
        <v>-2.1430548337356008</v>
      </c>
      <c r="P39" s="51">
        <f>'C-FCL Real'!O156</f>
        <v>-2.0553568431089744</v>
      </c>
      <c r="Q39" s="51">
        <f>'C-FCL Real'!P156</f>
        <v>-1.9672466719264037</v>
      </c>
      <c r="R39" s="51">
        <f>'C-FCL Real'!Q156</f>
        <v>-1.878722382939273</v>
      </c>
      <c r="S39" s="51">
        <f>'C-FCL Real'!O156</f>
        <v>-2.0553568431089744</v>
      </c>
      <c r="T39" s="51">
        <f>'C-FCL Real'!P156</f>
        <v>-1.9672466719264037</v>
      </c>
      <c r="U39" s="51">
        <f>'C-FCL Real'!Q156</f>
        <v>-1.878722382939273</v>
      </c>
      <c r="V39" s="51">
        <f>'C-FCL Real'!R156</f>
        <v>-1.7897820297939049</v>
      </c>
      <c r="W39" s="51">
        <f>'C-FCL Real'!S156</f>
        <v>-1.7004236569887539</v>
      </c>
      <c r="X39" s="51">
        <f>'C-FCL Real'!T156</f>
        <v>-1.6106452998314182</v>
      </c>
      <c r="Y39" s="51">
        <f>'C-FCL Real'!U156</f>
        <v>-1.5204449843954428</v>
      </c>
      <c r="Z39" s="51">
        <f>'C-FCL Real'!V156</f>
        <v>-1.4298207274769226</v>
      </c>
      <c r="AA39" s="51">
        <f>'C-FCL Real'!W156</f>
        <v>-1.3387705365508822</v>
      </c>
      <c r="AB39" s="51">
        <f>'C-FCL Real'!X156</f>
        <v>-1.2472924097274891</v>
      </c>
      <c r="AC39" s="51">
        <f>'C-FCL Real'!Y156</f>
        <v>-1.1553843357080211</v>
      </c>
      <c r="AD39" s="51">
        <f>'C-FCL Real'!Z156</f>
        <v>-1.063044293740667</v>
      </c>
      <c r="AE39" s="51">
        <f>'C-FCL Real'!AA156</f>
        <v>-0.97027025357606789</v>
      </c>
      <c r="AF39" s="51">
        <f>'C-FCL Real'!AB156</f>
        <v>-0.8770601754226881</v>
      </c>
      <c r="AG39" s="51">
        <f>'C-FCL Real'!AC156</f>
        <v>-0.78341200990199411</v>
      </c>
      <c r="AH39" s="51">
        <f>'C-FCL Real'!AD156</f>
        <v>-0.68932369800334925</v>
      </c>
      <c r="AI39" s="51">
        <f>'C-FCL Real'!AE156</f>
        <v>-0.5947931710387806</v>
      </c>
      <c r="AJ39" s="1739">
        <f>'C-FCL Real'!AF156</f>
        <v>-0.49981835059748292</v>
      </c>
      <c r="AK39" s="51">
        <f>'C-FCL Real'!AG156</f>
        <v>-0.40439714850010233</v>
      </c>
      <c r="AL39" s="51">
        <f>'C-FCL Real'!AH156</f>
        <v>-0.3085274667528779</v>
      </c>
      <c r="AM39" s="51">
        <f>'C-FCL Real'!AI156</f>
        <v>-0.21220719750143147</v>
      </c>
      <c r="AN39" s="51">
        <f>'C-FCL Real'!AJ156</f>
        <v>-0.11543422298450423</v>
      </c>
      <c r="AO39" s="51">
        <f>'C-FCL Real'!AK156</f>
        <v>-1.8206415487348693E-2</v>
      </c>
      <c r="AP39" s="51">
        <f>'C-FCL Real'!AL156</f>
        <v>5.2455719385325922E-2</v>
      </c>
      <c r="AQ39" s="51">
        <f>'C-FCL Real'!AM156</f>
        <v>0.11723069117425844</v>
      </c>
      <c r="AR39" s="51">
        <f>'C-FCL Real'!AN156</f>
        <v>0.18231010533059902</v>
      </c>
      <c r="AS39" s="51">
        <f>'C-FCL Real'!AO156</f>
        <v>0.24769539273347421</v>
      </c>
      <c r="AT39" s="51">
        <f>'C-FCL Real'!AP156</f>
        <v>0.31338799098714554</v>
      </c>
      <c r="AU39" s="51">
        <f>'C-FCL Real'!AQ156</f>
        <v>0.37938934445260097</v>
      </c>
      <c r="AV39" s="51">
        <f>'C-FCL Real'!AR156</f>
        <v>0.44570090427934783</v>
      </c>
      <c r="AW39" s="51">
        <f>'C-FCL Real'!AS156</f>
        <v>0.51232412843728559</v>
      </c>
      <c r="AX39" s="51">
        <f>'C-FCL Real'!AT156</f>
        <v>0.57926048174875677</v>
      </c>
      <c r="AY39" s="51">
        <f>'C-FCL Real'!AU156</f>
        <v>0.64651143592079741</v>
      </c>
      <c r="AZ39" s="51">
        <f>'C-FCL Real'!AV156</f>
        <v>0.71407846957744547</v>
      </c>
      <c r="BA39" s="51">
        <f>'C-FCL Real'!AW156</f>
        <v>0.7819630682922778</v>
      </c>
      <c r="BB39" s="51">
        <f>'C-FCL Real'!AX156</f>
        <v>0.85016672462107257</v>
      </c>
      <c r="BC39" s="51">
        <f>'C-FCL Real'!AY156</f>
        <v>0.918690938134613</v>
      </c>
      <c r="BD39" s="51">
        <f>'C-FCL Real'!AZ156</f>
        <v>0.98753721545166451</v>
      </c>
      <c r="BE39" s="51">
        <f>'C-FCL Real'!BA156</f>
        <v>1.0567070702721093</v>
      </c>
      <c r="BF39" s="51">
        <f>'C-FCL Real'!BB156</f>
        <v>1.126202023410209</v>
      </c>
      <c r="BG39" s="51">
        <f>'C-FCL Real'!BC156</f>
        <v>1.196023602828056</v>
      </c>
      <c r="BH39" s="51">
        <f>'C-FCL Real'!BD156</f>
        <v>0</v>
      </c>
    </row>
    <row r="40" spans="1:60" ht="15" hidden="1" customHeight="1" outlineLevel="1" x14ac:dyDescent="0.3">
      <c r="A40" s="1823">
        <f>C40*1000000/$C$16</f>
        <v>-46.201767816421466</v>
      </c>
      <c r="B40" s="1847" t="s">
        <v>1015</v>
      </c>
      <c r="C40" s="1808">
        <f>SUMIF($D$15:$BG$15,1,D40:BG40)</f>
        <v>-135.62012683627717</v>
      </c>
      <c r="D40" s="1804">
        <f t="shared" ref="D40:AK40" si="8">NPV($C$8,D39:D39)</f>
        <v>-22.979848791222295</v>
      </c>
      <c r="E40" s="51">
        <f t="shared" si="8"/>
        <v>-28.674124276450733</v>
      </c>
      <c r="F40" s="51">
        <f t="shared" si="8"/>
        <v>-36.697039015326631</v>
      </c>
      <c r="G40" s="51">
        <f t="shared" si="8"/>
        <v>-2.5788497880866701</v>
      </c>
      <c r="H40" s="51">
        <f t="shared" si="8"/>
        <v>-2.5018776644442595</v>
      </c>
      <c r="I40" s="51">
        <f t="shared" si="8"/>
        <v>-2.4245437718207241</v>
      </c>
      <c r="J40" s="51">
        <f t="shared" si="8"/>
        <v>-2.3468464099018589</v>
      </c>
      <c r="K40" s="51">
        <f t="shared" si="8"/>
        <v>-2.2687838703819776</v>
      </c>
      <c r="L40" s="51">
        <f t="shared" si="8"/>
        <v>-2.1903544369263499</v>
      </c>
      <c r="M40" s="51">
        <f t="shared" si="8"/>
        <v>-2.1115563851334835</v>
      </c>
      <c r="N40" s="51">
        <f t="shared" si="8"/>
        <v>-2.0323879824971902</v>
      </c>
      <c r="O40" s="51">
        <f t="shared" si="8"/>
        <v>-1.9528474883685083</v>
      </c>
      <c r="P40" s="51">
        <f t="shared" si="8"/>
        <v>-1.8729331539174179</v>
      </c>
      <c r="Q40" s="51">
        <f t="shared" si="8"/>
        <v>-1.7926432220944084</v>
      </c>
      <c r="R40" s="51">
        <f t="shared" si="8"/>
        <v>-1.7119759275918289</v>
      </c>
      <c r="S40" s="51">
        <f t="shared" si="8"/>
        <v>-1.8729331539174179</v>
      </c>
      <c r="T40" s="51">
        <f t="shared" si="8"/>
        <v>-1.7926432220944084</v>
      </c>
      <c r="U40" s="51">
        <f t="shared" si="8"/>
        <v>-1.7119759275918289</v>
      </c>
      <c r="V40" s="51">
        <f t="shared" si="8"/>
        <v>-1.6309294968050894</v>
      </c>
      <c r="W40" s="51">
        <f t="shared" si="8"/>
        <v>-1.5495021477936521</v>
      </c>
      <c r="X40" s="51">
        <f t="shared" si="8"/>
        <v>-1.4676920902418611</v>
      </c>
      <c r="Y40" s="51">
        <f t="shared" si="8"/>
        <v>-1.3854975254195763</v>
      </c>
      <c r="Z40" s="51">
        <f t="shared" si="8"/>
        <v>-1.3029166461426305</v>
      </c>
      <c r="AA40" s="51">
        <f t="shared" si="8"/>
        <v>-1.2199476367330802</v>
      </c>
      <c r="AB40" s="51">
        <f t="shared" si="8"/>
        <v>-1.1365886729793049</v>
      </c>
      <c r="AC40" s="51">
        <f t="shared" si="8"/>
        <v>-1.0528379220958823</v>
      </c>
      <c r="AD40" s="51">
        <f t="shared" si="8"/>
        <v>-0.96869354268331243</v>
      </c>
      <c r="AE40" s="51">
        <f t="shared" si="8"/>
        <v>-0.88415368468750499</v>
      </c>
      <c r="AF40" s="51">
        <f t="shared" si="8"/>
        <v>-0.79921648935911072</v>
      </c>
      <c r="AG40" s="51">
        <f t="shared" si="8"/>
        <v>-0.7138800892126792</v>
      </c>
      <c r="AH40" s="51">
        <f t="shared" si="8"/>
        <v>-0.6281426079855561</v>
      </c>
      <c r="AI40" s="51">
        <f t="shared" si="8"/>
        <v>-0.54200216059666539</v>
      </c>
      <c r="AJ40" s="1739">
        <f t="shared" si="8"/>
        <v>-0.45545685310505096</v>
      </c>
      <c r="AK40" s="51">
        <f t="shared" si="8"/>
        <v>-0.36850478266821796</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3">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3">
      <c r="A42" s="1823">
        <f>A24+A27+A30</f>
        <v>227.19394738189561</v>
      </c>
      <c r="B42" s="1793" t="s">
        <v>1003</v>
      </c>
      <c r="C42" s="1810"/>
      <c r="D42" s="1804">
        <f>'C-FCL Real'!C157</f>
        <v>-25.218086063487345</v>
      </c>
      <c r="E42" s="51">
        <f>'C-FCL Real'!D157</f>
        <v>-56.685070044464382</v>
      </c>
      <c r="F42" s="51">
        <f>'C-FCL Real'!E157</f>
        <v>-96.956400659883826</v>
      </c>
      <c r="G42" s="51">
        <f>'C-FCL Real'!F157</f>
        <v>-99.786430417330138</v>
      </c>
      <c r="H42" s="51">
        <f>'C-FCL Real'!G157</f>
        <v>-102.53199096629126</v>
      </c>
      <c r="I42" s="51">
        <f>'C-FCL Real'!H157</f>
        <v>-105.19268530148733</v>
      </c>
      <c r="J42" s="51">
        <f>'C-FCL Real'!I157</f>
        <v>-107.76811455171364</v>
      </c>
      <c r="K42" s="51">
        <f>'C-FCL Real'!J157</f>
        <v>-110.25787797107083</v>
      </c>
      <c r="L42" s="51">
        <f>'C-FCL Real'!K157</f>
        <v>-112.6615729301538</v>
      </c>
      <c r="M42" s="51">
        <f>'C-FCL Real'!L157</f>
        <v>-114.97879490719927</v>
      </c>
      <c r="N42" s="51">
        <f>'C-FCL Real'!M157</f>
        <v>-117.2091374791917</v>
      </c>
      <c r="O42" s="51">
        <f>'C-FCL Real'!N157</f>
        <v>-119.3521923129273</v>
      </c>
      <c r="P42" s="51">
        <f>'C-FCL Real'!O157</f>
        <v>-121.40754915603628</v>
      </c>
      <c r="Q42" s="51">
        <f>'C-FCL Real'!P157</f>
        <v>-123.37479582796269</v>
      </c>
      <c r="R42" s="51">
        <f>'C-FCL Real'!Q157</f>
        <v>-125.25351821090196</v>
      </c>
      <c r="S42" s="51">
        <f>'C-FCL Real'!O157</f>
        <v>-121.40754915603628</v>
      </c>
      <c r="T42" s="51">
        <f>'C-FCL Real'!P157</f>
        <v>-123.37479582796269</v>
      </c>
      <c r="U42" s="51">
        <f>'C-FCL Real'!Q157</f>
        <v>-125.25351821090196</v>
      </c>
      <c r="V42" s="51">
        <f>'C-FCL Real'!R157</f>
        <v>-127.04330024069586</v>
      </c>
      <c r="W42" s="51">
        <f>'C-FCL Real'!S157</f>
        <v>-128.74372389768462</v>
      </c>
      <c r="X42" s="51">
        <f>'C-FCL Real'!T157</f>
        <v>-130.35436919751604</v>
      </c>
      <c r="Y42" s="51">
        <f>'C-FCL Real'!U157</f>
        <v>-131.87481418191149</v>
      </c>
      <c r="Z42" s="51">
        <f>'C-FCL Real'!V157</f>
        <v>-133.30463490938843</v>
      </c>
      <c r="AA42" s="51">
        <f>'C-FCL Real'!W157</f>
        <v>-134.64340544593932</v>
      </c>
      <c r="AB42" s="51">
        <f>'C-FCL Real'!X157</f>
        <v>-135.89069785566682</v>
      </c>
      <c r="AC42" s="51">
        <f>'C-FCL Real'!Y157</f>
        <v>-137.04608219137484</v>
      </c>
      <c r="AD42" s="51">
        <f>'C-FCL Real'!Z157</f>
        <v>-138.1091264851155</v>
      </c>
      <c r="AE42" s="51">
        <f>'C-FCL Real'!AA157</f>
        <v>-139.07939673869157</v>
      </c>
      <c r="AF42" s="51">
        <f>'C-FCL Real'!AB157</f>
        <v>-139.95645691411426</v>
      </c>
      <c r="AG42" s="51">
        <f>'C-FCL Real'!AC157</f>
        <v>-140.73986892401626</v>
      </c>
      <c r="AH42" s="51">
        <f>'C-FCL Real'!AD157</f>
        <v>-141.42919262201963</v>
      </c>
      <c r="AI42" s="51">
        <f>'C-FCL Real'!AE157</f>
        <v>-142.02398579305842</v>
      </c>
      <c r="AJ42" s="1739">
        <f>'C-FCL Real'!AF157</f>
        <v>-142.52380414365589</v>
      </c>
      <c r="AK42" s="51">
        <f>'C-FCL Real'!AG157</f>
        <v>-142.92820129215599</v>
      </c>
      <c r="AL42" s="51">
        <f>'C-FCL Real'!AH157</f>
        <v>-143.23672875890887</v>
      </c>
      <c r="AM42" s="51">
        <f>'C-FCL Real'!AI157</f>
        <v>-143.44893595641031</v>
      </c>
      <c r="AN42" s="51">
        <f>'C-FCL Real'!AJ157</f>
        <v>-143.56437017939481</v>
      </c>
      <c r="AO42" s="51">
        <f>'C-FCL Real'!AK157</f>
        <v>-143.58257659488217</v>
      </c>
      <c r="AP42" s="51">
        <f>'C-FCL Real'!AL157</f>
        <v>-143.53012087549683</v>
      </c>
      <c r="AQ42" s="51">
        <f>'C-FCL Real'!AM157</f>
        <v>-143.41289018432258</v>
      </c>
      <c r="AR42" s="51">
        <f>'C-FCL Real'!AN157</f>
        <v>-143.23058007899198</v>
      </c>
      <c r="AS42" s="51">
        <f>'C-FCL Real'!AO157</f>
        <v>-142.9828846862585</v>
      </c>
      <c r="AT42" s="51">
        <f>'C-FCL Real'!AP157</f>
        <v>-142.66949669527136</v>
      </c>
      <c r="AU42" s="51">
        <f>'C-FCL Real'!AQ157</f>
        <v>-142.29010735081877</v>
      </c>
      <c r="AV42" s="51">
        <f>'C-FCL Real'!AR157</f>
        <v>-141.84440644653944</v>
      </c>
      <c r="AW42" s="51">
        <f>'C-FCL Real'!AS157</f>
        <v>-141.33208231810215</v>
      </c>
      <c r="AX42" s="51">
        <f>'C-FCL Real'!AT157</f>
        <v>-140.75282183635341</v>
      </c>
      <c r="AY42" s="51">
        <f>'C-FCL Real'!AU157</f>
        <v>-140.10631040043262</v>
      </c>
      <c r="AZ42" s="51">
        <f>'C-FCL Real'!AV157</f>
        <v>-139.39223193085516</v>
      </c>
      <c r="BA42" s="51">
        <f>'C-FCL Real'!AW157</f>
        <v>-138.61026886256289</v>
      </c>
      <c r="BB42" s="51">
        <f>'C-FCL Real'!AX157</f>
        <v>-137.76010213794183</v>
      </c>
      <c r="BC42" s="51">
        <f>'C-FCL Real'!AY157</f>
        <v>-136.84141119980723</v>
      </c>
      <c r="BD42" s="51">
        <f>'C-FCL Real'!AZ157</f>
        <v>-135.85387398435557</v>
      </c>
      <c r="BE42" s="51">
        <f>'C-FCL Real'!BA157</f>
        <v>-134.79716691408348</v>
      </c>
      <c r="BF42" s="51">
        <f>'C-FCL Real'!BB157</f>
        <v>-133.67096489067328</v>
      </c>
      <c r="BG42" s="51">
        <f>'C-FCL Real'!BC157</f>
        <v>-132.47494128784521</v>
      </c>
      <c r="BH42" s="51">
        <f>'C-FCL Real'!BD157</f>
        <v>0</v>
      </c>
    </row>
    <row r="43" spans="1:60" ht="15" hidden="1" customHeight="1" outlineLevel="1" x14ac:dyDescent="0.3">
      <c r="A43" s="1823">
        <f>A18+A21+A36</f>
        <v>278.00087357042798</v>
      </c>
      <c r="B43" s="1793" t="s">
        <v>1042</v>
      </c>
      <c r="C43" s="1811">
        <f>'R&amp;C-Painel de Controle'!D32</f>
        <v>35</v>
      </c>
      <c r="D43" s="1796" t="s">
        <v>309</v>
      </c>
    </row>
    <row r="44" spans="1:60" ht="15" hidden="1" customHeight="1" outlineLevel="1" x14ac:dyDescent="0.3">
      <c r="A44" s="1823">
        <f>A42-A43</f>
        <v>-50.806926188532373</v>
      </c>
      <c r="B44" s="1793" t="s">
        <v>1024</v>
      </c>
      <c r="C44" s="1727"/>
      <c r="D44" s="1192"/>
      <c r="F44" s="1733"/>
      <c r="G44" s="1733"/>
    </row>
    <row r="45" spans="1:60" s="1783" customFormat="1" ht="15" hidden="1" customHeight="1" outlineLevel="1" x14ac:dyDescent="0.3">
      <c r="A45" s="1823"/>
      <c r="B45" s="1793"/>
      <c r="C45" s="1841"/>
      <c r="D45" s="1192"/>
      <c r="F45" s="1733"/>
      <c r="G45" s="1733"/>
      <c r="AI45" s="383"/>
    </row>
    <row r="46" spans="1:60" ht="15" hidden="1" customHeight="1" outlineLevel="1" x14ac:dyDescent="0.3">
      <c r="B46" s="1738" t="s">
        <v>1021</v>
      </c>
      <c r="C46" s="1809">
        <f>F46*$C$16/1000000</f>
        <v>597.92330793090616</v>
      </c>
      <c r="D46" s="1758" t="s">
        <v>1061</v>
      </c>
      <c r="E46" s="1758"/>
      <c r="F46" s="1775">
        <f>A27</f>
        <v>203.69479434567918</v>
      </c>
      <c r="G46" s="1758" t="s">
        <v>342</v>
      </c>
      <c r="H46" s="1758"/>
    </row>
    <row r="47" spans="1:60" ht="15" hidden="1" customHeight="1" outlineLevel="1" x14ac:dyDescent="0.3">
      <c r="B47" s="1869" t="s">
        <v>1022</v>
      </c>
      <c r="C47" s="1870">
        <f>F47*$C$16/1000000</f>
        <v>0</v>
      </c>
      <c r="D47" s="1871" t="s">
        <v>1061</v>
      </c>
      <c r="E47" s="1871"/>
      <c r="F47" s="1872">
        <f>A24</f>
        <v>0</v>
      </c>
      <c r="G47" s="1871" t="s">
        <v>342</v>
      </c>
      <c r="H47" s="1871"/>
    </row>
    <row r="48" spans="1:60" ht="15" hidden="1" customHeight="1" outlineLevel="1" thickBot="1" x14ac:dyDescent="0.35">
      <c r="B48" s="1738" t="s">
        <v>1023</v>
      </c>
      <c r="C48" s="1809">
        <f>F48*$C$16/1000000</f>
        <v>68.979137940778543</v>
      </c>
      <c r="D48" s="1758" t="s">
        <v>1061</v>
      </c>
      <c r="E48" s="1758"/>
      <c r="F48" s="1775">
        <f>A30</f>
        <v>23.499153036216423</v>
      </c>
      <c r="G48" s="1758" t="s">
        <v>342</v>
      </c>
      <c r="H48" s="1758"/>
    </row>
    <row r="49" spans="1:35" s="42" customFormat="1" ht="15" hidden="1" customHeight="1" outlineLevel="1" thickTop="1" x14ac:dyDescent="0.3">
      <c r="A49" s="1740"/>
      <c r="B49" s="1759" t="s">
        <v>1025</v>
      </c>
      <c r="C49" s="1777">
        <f>C46+C47+C48</f>
        <v>666.90244587168468</v>
      </c>
      <c r="D49" s="1760" t="s">
        <v>1061</v>
      </c>
      <c r="E49" s="1760"/>
      <c r="F49" s="1761">
        <f>F46+F47+F48</f>
        <v>227.19394738189561</v>
      </c>
      <c r="G49" s="1760" t="s">
        <v>342</v>
      </c>
      <c r="H49" s="1760"/>
      <c r="AI49" s="1740"/>
    </row>
    <row r="50" spans="1:35" ht="15" hidden="1" customHeight="1" outlineLevel="1" x14ac:dyDescent="0.3">
      <c r="B50" s="1869" t="s">
        <v>1027</v>
      </c>
      <c r="C50" s="1870">
        <f>F50*$C$16/1000000</f>
        <v>816.04050052856871</v>
      </c>
      <c r="D50" s="1871" t="s">
        <v>1061</v>
      </c>
      <c r="E50" s="1871"/>
      <c r="F50" s="1872">
        <f>A18+A21</f>
        <v>278.00087357042798</v>
      </c>
      <c r="G50" s="1871" t="s">
        <v>342</v>
      </c>
      <c r="H50" s="1871"/>
    </row>
    <row r="51" spans="1:35" ht="15" hidden="1" customHeight="1" outlineLevel="1" x14ac:dyDescent="0.3">
      <c r="B51" s="1738" t="s">
        <v>1028</v>
      </c>
      <c r="C51" s="1821">
        <f>F51*$C$16/1000000</f>
        <v>0</v>
      </c>
      <c r="D51" s="1758" t="s">
        <v>1061</v>
      </c>
      <c r="E51" s="1758"/>
      <c r="F51" s="1776">
        <f>A36</f>
        <v>0</v>
      </c>
      <c r="G51" s="1758" t="s">
        <v>342</v>
      </c>
      <c r="H51" s="1758"/>
    </row>
    <row r="52" spans="1:35" s="1735" customFormat="1" ht="15" hidden="1" customHeight="1" outlineLevel="1" thickBot="1" x14ac:dyDescent="0.35">
      <c r="A52" s="1745"/>
      <c r="B52" s="1799"/>
      <c r="C52" s="1820"/>
      <c r="D52" s="1770"/>
      <c r="E52" s="1770"/>
      <c r="F52" s="1770"/>
      <c r="G52" s="1770"/>
      <c r="H52" s="1770"/>
      <c r="AI52" s="1745"/>
    </row>
    <row r="53" spans="1:35" s="45" customFormat="1" ht="15" hidden="1" customHeight="1" outlineLevel="1" thickTop="1" x14ac:dyDescent="0.3">
      <c r="A53" s="925"/>
      <c r="B53" s="1843" t="s">
        <v>1026</v>
      </c>
      <c r="C53" s="1844">
        <f>C49-C50-C51</f>
        <v>-149.13805465688404</v>
      </c>
      <c r="D53" s="1845" t="s">
        <v>1061</v>
      </c>
      <c r="E53" s="1845"/>
      <c r="F53" s="1846">
        <f>F49-F50-F51</f>
        <v>-50.806926188532373</v>
      </c>
      <c r="G53" s="1845" t="s">
        <v>342</v>
      </c>
      <c r="H53" s="1845"/>
      <c r="AI53" s="925"/>
    </row>
    <row r="54" spans="1:35" s="1783" customFormat="1" ht="15" customHeight="1" thickTop="1" thickBot="1" x14ac:dyDescent="0.35">
      <c r="A54" s="1823"/>
      <c r="B54" s="1793"/>
      <c r="C54" s="1841"/>
      <c r="D54" s="1192"/>
      <c r="F54" s="1733"/>
      <c r="G54" s="1733"/>
      <c r="AI54" s="383"/>
    </row>
    <row r="55" spans="1:35" s="1768" customFormat="1" ht="25.2" customHeight="1" collapsed="1" thickTop="1" thickBot="1" x14ac:dyDescent="0.35">
      <c r="A55" s="1769"/>
      <c r="B55" s="2395" t="s">
        <v>1082</v>
      </c>
      <c r="C55" s="2396"/>
      <c r="D55" s="2396"/>
      <c r="E55" s="2396"/>
      <c r="F55" s="2396"/>
      <c r="G55" s="2396"/>
      <c r="H55" s="2397"/>
      <c r="AI55" s="1769"/>
    </row>
    <row r="56" spans="1:35" s="1735" customFormat="1" ht="15" hidden="1" customHeight="1" outlineLevel="1" thickTop="1" x14ac:dyDescent="0.3">
      <c r="A56" s="1745"/>
      <c r="B56" s="1797"/>
      <c r="C56" s="1812"/>
      <c r="D56" s="1748"/>
      <c r="E56" s="1748"/>
      <c r="F56" s="1749"/>
      <c r="G56" s="1748"/>
      <c r="H56" s="1750"/>
      <c r="AI56" s="1745"/>
    </row>
    <row r="57" spans="1:35" s="45" customFormat="1" ht="15" hidden="1" customHeight="1" outlineLevel="1" x14ac:dyDescent="0.3">
      <c r="A57" s="925"/>
      <c r="B57" s="1751" t="s">
        <v>1017</v>
      </c>
      <c r="C57" s="1763">
        <f>C58*C59</f>
        <v>5710661.1644171514</v>
      </c>
      <c r="D57" s="1752" t="s">
        <v>1016</v>
      </c>
      <c r="E57" s="1752"/>
      <c r="F57" s="1753">
        <f>C57/'R&amp;C-Painel de Controle'!$D$8</f>
        <v>73.213604672014768</v>
      </c>
      <c r="G57" s="1752" t="s">
        <v>342</v>
      </c>
      <c r="H57" s="1754">
        <f>F57/$F$99</f>
        <v>0.27215681236426659</v>
      </c>
      <c r="AI57" s="925"/>
    </row>
    <row r="58" spans="1:35" s="1735" customFormat="1" ht="15" hidden="1" customHeight="1" outlineLevel="1" x14ac:dyDescent="0.3">
      <c r="A58" s="1745"/>
      <c r="B58" s="1747" t="s">
        <v>1034</v>
      </c>
      <c r="C58" s="1813">
        <f>('R&amp;C-Painel de Controle'!D8-'R&amp;C-Painel de Controle'!D9)</f>
        <v>46521.149999999994</v>
      </c>
      <c r="D58" s="1748" t="s">
        <v>298</v>
      </c>
      <c r="E58" s="1748"/>
      <c r="F58" s="1749"/>
      <c r="G58" s="1748"/>
      <c r="H58" s="1750"/>
      <c r="AI58" s="1745"/>
    </row>
    <row r="59" spans="1:35" s="1735" customFormat="1" ht="15" hidden="1" customHeight="1" outlineLevel="1" x14ac:dyDescent="0.3">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122.75408420507989</v>
      </c>
      <c r="D59" s="1765" t="s">
        <v>342</v>
      </c>
      <c r="E59" s="1765"/>
      <c r="F59" s="1766"/>
      <c r="G59" s="1765"/>
      <c r="H59" s="1767"/>
      <c r="AI59" s="1745"/>
    </row>
    <row r="60" spans="1:35" s="1735" customFormat="1" ht="15" hidden="1" customHeight="1" outlineLevel="1" x14ac:dyDescent="0.3">
      <c r="A60" s="1745"/>
      <c r="B60" s="1798"/>
      <c r="C60" s="1815"/>
      <c r="D60" s="1742"/>
      <c r="E60" s="1742"/>
      <c r="F60" s="1743"/>
      <c r="G60" s="1742"/>
      <c r="H60" s="1744"/>
      <c r="AI60" s="1745"/>
    </row>
    <row r="61" spans="1:35" s="45" customFormat="1" ht="15" hidden="1" customHeight="1" outlineLevel="1" x14ac:dyDescent="0.3">
      <c r="A61" s="925"/>
      <c r="B61" s="1738" t="s">
        <v>1036</v>
      </c>
      <c r="C61" s="1848">
        <f>IF(C68="Sim",(C62*C71+C63*C72+C64*C73+C65*C74+C66*C76+C67*C75)*C69*((1-C93)+(1-C70)*(1-C89)),0)</f>
        <v>6073171.6252037548</v>
      </c>
      <c r="D61" s="1849" t="s">
        <v>1016</v>
      </c>
      <c r="E61" s="1849"/>
      <c r="F61" s="1850">
        <f>C61/'R&amp;C-Painel de Controle'!$D$8</f>
        <v>77.861174682099417</v>
      </c>
      <c r="G61" s="1849" t="s">
        <v>342</v>
      </c>
      <c r="H61" s="1851">
        <f>F61/$F$99</f>
        <v>0.28943321672723715</v>
      </c>
      <c r="AI61" s="925"/>
    </row>
    <row r="62" spans="1:35" s="1735" customFormat="1" ht="15" hidden="1" customHeight="1" outlineLevel="1" x14ac:dyDescent="0.3">
      <c r="A62" s="1745"/>
      <c r="B62" s="1741" t="str">
        <f>'R&amp;C-Painel de Controle'!J36</f>
        <v>Mat. Recicl.: Papel/Papelão — Triagem Mecanizada</v>
      </c>
      <c r="C62" s="1816">
        <f>'R&amp;C-Painel de Controle'!L36</f>
        <v>2769.5653569011492</v>
      </c>
      <c r="D62" s="1742" t="s">
        <v>298</v>
      </c>
      <c r="E62" s="1742"/>
      <c r="F62" s="1743"/>
      <c r="G62" s="1742"/>
      <c r="H62" s="1744"/>
      <c r="AI62" s="1745"/>
    </row>
    <row r="63" spans="1:35" s="1735" customFormat="1" ht="15" hidden="1" customHeight="1" outlineLevel="1" x14ac:dyDescent="0.3">
      <c r="A63" s="1745"/>
      <c r="B63" s="1747" t="str">
        <f>'R&amp;C-Painel de Controle'!J37</f>
        <v>Mat. Recicl.: Plástico Filme — Triagem Mecanizada</v>
      </c>
      <c r="C63" s="1813">
        <f>'R&amp;C-Painel de Controle'!L37</f>
        <v>1881.6131050702463</v>
      </c>
      <c r="D63" s="1748" t="s">
        <v>298</v>
      </c>
      <c r="E63" s="1748"/>
      <c r="F63" s="1749"/>
      <c r="G63" s="1748"/>
      <c r="H63" s="1750"/>
      <c r="AI63" s="1745"/>
    </row>
    <row r="64" spans="1:35" s="1735" customFormat="1" ht="15" hidden="1" customHeight="1" outlineLevel="1" x14ac:dyDescent="0.3">
      <c r="A64" s="1745"/>
      <c r="B64" s="1747" t="str">
        <f>'R&amp;C-Painel de Controle'!J38</f>
        <v>Mat. Recicl.: Plástico Rígido — Triagem Mecanizada</v>
      </c>
      <c r="C64" s="1813">
        <f>'R&amp;C-Painel de Controle'!L38</f>
        <v>972.51913295765542</v>
      </c>
      <c r="D64" s="1748" t="s">
        <v>298</v>
      </c>
      <c r="E64" s="1748"/>
      <c r="F64" s="1749"/>
      <c r="G64" s="1748"/>
      <c r="H64" s="1750"/>
      <c r="AI64" s="1745"/>
    </row>
    <row r="65" spans="1:35" s="1735" customFormat="1" ht="15" hidden="1" customHeight="1" outlineLevel="1" x14ac:dyDescent="0.3">
      <c r="A65" s="1745"/>
      <c r="B65" s="1747" t="str">
        <f>'R&amp;C-Painel de Controle'!J39</f>
        <v>Mat. Recicl.: Vidros — Triagem Mecânica</v>
      </c>
      <c r="C65" s="1813">
        <f>'R&amp;C-Painel de Controle'!L39</f>
        <v>507.40128676051592</v>
      </c>
      <c r="D65" s="1748" t="s">
        <v>298</v>
      </c>
      <c r="E65" s="1748"/>
      <c r="F65" s="1749"/>
      <c r="G65" s="1748"/>
      <c r="H65" s="1750"/>
      <c r="AI65" s="1745"/>
    </row>
    <row r="66" spans="1:35" s="1735" customFormat="1" ht="15" hidden="1" customHeight="1" outlineLevel="1" x14ac:dyDescent="0.3">
      <c r="A66" s="1745"/>
      <c r="B66" s="1747" t="str">
        <f>'R&amp;C-Painel de Controle'!J40</f>
        <v>Mat. Recicl.: Metais Não Ferrosos — Triagem Mecanizada</v>
      </c>
      <c r="C66" s="1813">
        <f>'R&amp;C-Painel de Controle'!L40</f>
        <v>126.85032169012898</v>
      </c>
      <c r="D66" s="1748" t="s">
        <v>298</v>
      </c>
      <c r="E66" s="1748"/>
      <c r="F66" s="1749"/>
      <c r="G66" s="1748"/>
      <c r="H66" s="1750"/>
      <c r="AI66" s="1745"/>
    </row>
    <row r="67" spans="1:35" s="1735" customFormat="1" ht="15" hidden="1" customHeight="1" outlineLevel="1" x14ac:dyDescent="0.3">
      <c r="A67" s="1745"/>
      <c r="B67" s="1747" t="str">
        <f>'R&amp;C-Painel de Controle'!J41</f>
        <v>Mat. Recicl.: Metais Ferrosos — Triagem Mecanizada</v>
      </c>
      <c r="C67" s="1813">
        <f>'R&amp;C-Painel de Controle'!L41</f>
        <v>486.25956647882771</v>
      </c>
      <c r="D67" s="1748" t="s">
        <v>298</v>
      </c>
      <c r="E67" s="1748"/>
      <c r="F67" s="1749"/>
      <c r="G67" s="1748"/>
      <c r="H67" s="1750"/>
      <c r="AI67" s="1745"/>
    </row>
    <row r="68" spans="1:35" s="1735" customFormat="1" ht="15" hidden="1" customHeight="1" outlineLevel="1" x14ac:dyDescent="0.3">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3">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3">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3">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3">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3">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3">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3">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3">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3">
      <c r="A77" s="1745"/>
      <c r="B77" s="1797"/>
      <c r="C77" s="1812"/>
      <c r="D77" s="1748"/>
      <c r="E77" s="1748"/>
      <c r="F77" s="1749"/>
      <c r="G77" s="1748"/>
      <c r="H77" s="1750"/>
      <c r="AI77" s="1745"/>
    </row>
    <row r="78" spans="1:35" ht="15" hidden="1" customHeight="1" outlineLevel="1" x14ac:dyDescent="0.3">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2639885.9649389107</v>
      </c>
      <c r="D78" s="1758" t="s">
        <v>1016</v>
      </c>
      <c r="E78" s="1758"/>
      <c r="F78" s="1776">
        <f>C78/'R&amp;C-Painel de Controle'!$D$8</f>
        <v>33.844691858191162</v>
      </c>
      <c r="G78" s="1758" t="s">
        <v>342</v>
      </c>
      <c r="H78" s="1852">
        <f>F78/$F$99</f>
        <v>0.12581081744083281</v>
      </c>
    </row>
    <row r="79" spans="1:35" ht="15" hidden="1" customHeight="1" outlineLevel="1" x14ac:dyDescent="0.3">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3695840.3509144746</v>
      </c>
      <c r="D79" s="1758" t="s">
        <v>1016</v>
      </c>
      <c r="E79" s="1758"/>
      <c r="F79" s="1776">
        <f>C79/'R&amp;C-Painel de Controle'!$D$8</f>
        <v>47.382568601467625</v>
      </c>
      <c r="G79" s="1758" t="s">
        <v>342</v>
      </c>
      <c r="H79" s="1852">
        <f>F79/$F$99</f>
        <v>0.17613514441716591</v>
      </c>
    </row>
    <row r="80" spans="1:35" s="1735" customFormat="1" ht="15" hidden="1" customHeight="1" outlineLevel="1" x14ac:dyDescent="0.3">
      <c r="A80" s="1745"/>
      <c r="B80" s="1797"/>
      <c r="C80" s="1812"/>
      <c r="D80" s="1748"/>
      <c r="E80" s="1748"/>
      <c r="F80" s="1749"/>
      <c r="G80" s="1748"/>
      <c r="H80" s="1750"/>
      <c r="AI80" s="1745"/>
    </row>
    <row r="81" spans="1:35" ht="15" hidden="1" customHeight="1" outlineLevel="1" x14ac:dyDescent="0.3">
      <c r="B81" s="1853" t="s">
        <v>1031</v>
      </c>
      <c r="C81" s="1854">
        <f>(C82*C83+C84*C85)*C86</f>
        <v>1033301.918121741</v>
      </c>
      <c r="D81" s="1855" t="s">
        <v>1016</v>
      </c>
      <c r="E81" s="1855"/>
      <c r="F81" s="1856">
        <f>C81/'R&amp;C-Painel de Controle'!$D$8</f>
        <v>13.24746048874027</v>
      </c>
      <c r="G81" s="1855" t="s">
        <v>342</v>
      </c>
      <c r="H81" s="1857">
        <f>F81/$F$99</f>
        <v>4.9244763110472101E-2</v>
      </c>
    </row>
    <row r="82" spans="1:35" ht="15" hidden="1" customHeight="1" outlineLevel="1" x14ac:dyDescent="0.3">
      <c r="B82" s="1755" t="s">
        <v>1037</v>
      </c>
      <c r="C82" s="1786">
        <f>'R&amp;C-Painel de Controle'!D8</f>
        <v>78000</v>
      </c>
      <c r="D82" s="1745" t="s">
        <v>298</v>
      </c>
      <c r="E82" s="1745"/>
      <c r="F82" s="1771"/>
      <c r="G82" s="1745"/>
      <c r="H82" s="1772"/>
    </row>
    <row r="83" spans="1:35" ht="15" hidden="1" customHeight="1" outlineLevel="1" x14ac:dyDescent="0.3">
      <c r="B83" s="1755" t="s">
        <v>1038</v>
      </c>
      <c r="C83" s="1786">
        <f>'R&amp;C-Painel de Controle'!D33</f>
        <v>237.54494967426146</v>
      </c>
      <c r="D83" s="1745" t="s">
        <v>342</v>
      </c>
      <c r="E83" s="1745"/>
      <c r="F83" s="1771"/>
      <c r="G83" s="1745"/>
      <c r="H83" s="1772"/>
    </row>
    <row r="84" spans="1:35" ht="15" hidden="1" customHeight="1" outlineLevel="1" x14ac:dyDescent="0.3">
      <c r="B84" s="1755" t="s">
        <v>1039</v>
      </c>
      <c r="C84" s="1786">
        <f>'R&amp;C-Painel de Controle'!D31*312</f>
        <v>18720</v>
      </c>
      <c r="D84" s="1745" t="s">
        <v>298</v>
      </c>
      <c r="E84" s="1745"/>
      <c r="F84" s="1771"/>
      <c r="G84" s="1745"/>
      <c r="H84" s="1772"/>
    </row>
    <row r="85" spans="1:35" ht="15" hidden="1" customHeight="1" outlineLevel="1" x14ac:dyDescent="0.3">
      <c r="B85" s="1755" t="s">
        <v>1040</v>
      </c>
      <c r="C85" s="1786">
        <f>'R&amp;C-Painel de Controle'!H31</f>
        <v>114.18441708559973</v>
      </c>
      <c r="D85" s="1745" t="s">
        <v>342</v>
      </c>
      <c r="E85" s="1745"/>
      <c r="F85" s="1771"/>
      <c r="G85" s="1745"/>
      <c r="H85" s="1772"/>
    </row>
    <row r="86" spans="1:35" ht="15" hidden="1" customHeight="1" outlineLevel="1" x14ac:dyDescent="0.3">
      <c r="B86" s="1756" t="s">
        <v>1041</v>
      </c>
      <c r="C86" s="1818">
        <f>'C-FCL Real'!C10</f>
        <v>0.05</v>
      </c>
      <c r="D86" s="1757" t="s">
        <v>195</v>
      </c>
      <c r="E86" s="1757"/>
      <c r="F86" s="1773"/>
      <c r="G86" s="1757"/>
      <c r="H86" s="1774"/>
    </row>
    <row r="87" spans="1:35" s="1735" customFormat="1" ht="15" hidden="1" customHeight="1" outlineLevel="1" x14ac:dyDescent="0.3">
      <c r="A87" s="1745"/>
      <c r="B87" s="1797"/>
      <c r="C87" s="1812"/>
      <c r="D87" s="1748"/>
      <c r="E87" s="1748"/>
      <c r="F87" s="1749"/>
      <c r="G87" s="1748"/>
      <c r="H87" s="1750"/>
      <c r="AI87" s="1745"/>
    </row>
    <row r="88" spans="1:35" ht="15" hidden="1" customHeight="1" outlineLevel="1" x14ac:dyDescent="0.3">
      <c r="B88" s="1853" t="s">
        <v>1032</v>
      </c>
      <c r="C88" s="1854">
        <f>(C62*C71+C63*C72+C64*C73+C65*C74+C66*C76+C67*C75)*C89*C90</f>
        <v>116232.94976466517</v>
      </c>
      <c r="D88" s="1855" t="s">
        <v>1016</v>
      </c>
      <c r="E88" s="1855"/>
      <c r="F88" s="1856">
        <f>C88/'R&amp;C-Painel de Controle'!$D$8</f>
        <v>1.4901660226239124</v>
      </c>
      <c r="G88" s="1855" t="s">
        <v>342</v>
      </c>
      <c r="H88" s="1857">
        <f>F88/$F$99</f>
        <v>5.5393917076983195E-3</v>
      </c>
    </row>
    <row r="89" spans="1:35" ht="15" hidden="1" customHeight="1" outlineLevel="1" x14ac:dyDescent="0.3">
      <c r="B89" s="1756" t="s">
        <v>1060</v>
      </c>
      <c r="C89" s="1818">
        <f>'C-FCL Real'!C11</f>
        <v>0.12</v>
      </c>
      <c r="D89" s="1757" t="s">
        <v>195</v>
      </c>
      <c r="E89" s="1757"/>
      <c r="F89" s="1773"/>
      <c r="G89" s="1757"/>
      <c r="H89" s="1774"/>
    </row>
    <row r="90" spans="1:35" ht="15" hidden="1" customHeight="1" outlineLevel="1" x14ac:dyDescent="0.3">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3">
      <c r="A91" s="1745"/>
      <c r="B91" s="1797"/>
      <c r="C91" s="1812"/>
      <c r="D91" s="1748"/>
      <c r="E91" s="1748"/>
      <c r="F91" s="1749"/>
      <c r="G91" s="1748"/>
      <c r="H91" s="1750"/>
      <c r="AI91" s="1745"/>
    </row>
    <row r="92" spans="1:35" ht="15" hidden="1" customHeight="1" outlineLevel="1" x14ac:dyDescent="0.3">
      <c r="B92" s="1853" t="s">
        <v>1033</v>
      </c>
      <c r="C92" s="1854">
        <f>'R&amp;C-Painel de Controle'!D33*'R&amp;C-Painel de Controle'!D8*(C93)+C36*1000000/'R&amp;C-Painel de Controle'!D32</f>
        <v>1713886.8118997964</v>
      </c>
      <c r="D92" s="1855" t="s">
        <v>1016</v>
      </c>
      <c r="E92" s="1858"/>
      <c r="F92" s="1859">
        <f>C92/'R&amp;C-Painel de Controle'!$D$8</f>
        <v>21.972907844869184</v>
      </c>
      <c r="G92" s="1858" t="s">
        <v>342</v>
      </c>
      <c r="H92" s="1860">
        <f>F92/$F$99</f>
        <v>8.1679854232327029E-2</v>
      </c>
    </row>
    <row r="93" spans="1:35" s="1783" customFormat="1" ht="15" hidden="1" customHeight="1" outlineLevel="1" x14ac:dyDescent="0.3">
      <c r="A93" s="383"/>
      <c r="B93" s="1756" t="s">
        <v>1070</v>
      </c>
      <c r="C93" s="1819">
        <v>9.2499999999999999E-2</v>
      </c>
      <c r="D93" s="1757" t="s">
        <v>195</v>
      </c>
      <c r="E93" s="1757"/>
      <c r="F93" s="1773"/>
      <c r="G93" s="1757"/>
      <c r="H93" s="1774"/>
      <c r="AI93" s="383"/>
    </row>
    <row r="94" spans="1:35" ht="15" hidden="1" customHeight="1" outlineLevel="1" x14ac:dyDescent="0.3">
      <c r="B94" s="1755" t="s">
        <v>1037</v>
      </c>
      <c r="C94" s="1786">
        <f>C82</f>
        <v>78000</v>
      </c>
      <c r="D94" s="1745" t="s">
        <v>298</v>
      </c>
      <c r="E94" s="1745"/>
      <c r="F94" s="1771"/>
      <c r="G94" s="1745"/>
      <c r="H94" s="1772"/>
    </row>
    <row r="95" spans="1:35" ht="15" hidden="1" customHeight="1" outlineLevel="1" x14ac:dyDescent="0.3">
      <c r="B95" s="1755" t="s">
        <v>1038</v>
      </c>
      <c r="C95" s="1786">
        <f>C83</f>
        <v>237.54494967426146</v>
      </c>
      <c r="D95" s="1745" t="s">
        <v>342</v>
      </c>
      <c r="E95" s="1745"/>
      <c r="F95" s="1771"/>
      <c r="G95" s="1745"/>
      <c r="H95" s="1772"/>
    </row>
    <row r="96" spans="1:35" ht="15" hidden="1" customHeight="1" outlineLevel="1" x14ac:dyDescent="0.3">
      <c r="B96" s="1755" t="s">
        <v>1039</v>
      </c>
      <c r="C96" s="1786">
        <f>C84</f>
        <v>18720</v>
      </c>
      <c r="D96" s="1745" t="s">
        <v>298</v>
      </c>
      <c r="E96" s="1745"/>
      <c r="F96" s="1771"/>
      <c r="G96" s="1745"/>
      <c r="H96" s="1772"/>
    </row>
    <row r="97" spans="1:35" ht="15" hidden="1" customHeight="1" outlineLevel="1" x14ac:dyDescent="0.3">
      <c r="B97" s="1755" t="s">
        <v>1040</v>
      </c>
      <c r="C97" s="1786">
        <f>C85</f>
        <v>114.18441708559973</v>
      </c>
      <c r="D97" s="1745" t="s">
        <v>342</v>
      </c>
      <c r="E97" s="1745"/>
      <c r="F97" s="1771"/>
      <c r="G97" s="1745"/>
      <c r="H97" s="1772"/>
    </row>
    <row r="98" spans="1:35" s="1735" customFormat="1" ht="15" hidden="1" customHeight="1" outlineLevel="1" thickBot="1" x14ac:dyDescent="0.35">
      <c r="A98" s="1745"/>
      <c r="B98" s="1799"/>
      <c r="C98" s="1820"/>
      <c r="D98" s="1770"/>
      <c r="E98" s="1770"/>
      <c r="F98" s="1770"/>
      <c r="G98" s="1770"/>
      <c r="H98" s="1770"/>
      <c r="AI98" s="1745"/>
    </row>
    <row r="99" spans="1:35" s="42" customFormat="1" ht="15" hidden="1" customHeight="1" outlineLevel="1" thickTop="1" x14ac:dyDescent="0.3">
      <c r="A99" s="1740"/>
      <c r="B99" s="1861" t="s">
        <v>1020</v>
      </c>
      <c r="C99" s="1862">
        <f>C57+C61+C78+C79+C81+C88+C92</f>
        <v>20982980.785260495</v>
      </c>
      <c r="D99" s="1863" t="s">
        <v>1016</v>
      </c>
      <c r="E99" s="1864"/>
      <c r="F99" s="1865">
        <f>C99/'R&amp;C-Painel de Controle'!$D$8</f>
        <v>269.01257417000636</v>
      </c>
      <c r="G99" s="1864" t="s">
        <v>342</v>
      </c>
      <c r="H99" s="1866">
        <f>F99/$F$99</f>
        <v>1</v>
      </c>
      <c r="AI99" s="1740"/>
    </row>
    <row r="100" spans="1:35" ht="15" customHeight="1" thickTop="1" thickBot="1" x14ac:dyDescent="0.35">
      <c r="B100" s="1793"/>
      <c r="C100" s="1805"/>
      <c r="D100" s="1735"/>
      <c r="E100" s="1735"/>
      <c r="F100" s="1735"/>
      <c r="G100" s="1735"/>
      <c r="H100" s="1735"/>
    </row>
    <row r="101" spans="1:35" s="1783" customFormat="1" ht="25.2" customHeight="1" collapsed="1" thickTop="1" thickBot="1" x14ac:dyDescent="0.35">
      <c r="A101" s="383"/>
      <c r="B101" s="2395" t="s">
        <v>1083</v>
      </c>
      <c r="C101" s="2396"/>
      <c r="D101" s="2396"/>
      <c r="E101" s="2396"/>
      <c r="F101" s="2396"/>
      <c r="G101" s="2396"/>
      <c r="H101" s="2397"/>
      <c r="AI101" s="383"/>
    </row>
    <row r="102" spans="1:35" ht="15" hidden="1" customHeight="1" outlineLevel="1" thickTop="1" x14ac:dyDescent="0.3">
      <c r="B102" s="1915" t="s">
        <v>290</v>
      </c>
      <c r="C102" s="1874">
        <f>'R&amp;C-Painel de Controle'!D6</f>
        <v>411597</v>
      </c>
      <c r="D102" s="1735" t="s">
        <v>291</v>
      </c>
      <c r="F102" s="40"/>
      <c r="G102" s="1762"/>
    </row>
    <row r="103" spans="1:35" ht="15" hidden="1" customHeight="1" outlineLevel="1" x14ac:dyDescent="0.3">
      <c r="B103" s="1873" t="s">
        <v>1069</v>
      </c>
      <c r="C103" s="1874">
        <f>'R&amp;C-Painel de Controle'!D8</f>
        <v>78000</v>
      </c>
      <c r="D103" s="1875" t="s">
        <v>298</v>
      </c>
      <c r="E103" s="1876"/>
      <c r="F103" s="1876"/>
      <c r="G103" s="1876"/>
      <c r="H103" s="1876"/>
    </row>
    <row r="104" spans="1:35" s="1783" customFormat="1" ht="15" hidden="1" customHeight="1" outlineLevel="1" x14ac:dyDescent="0.3">
      <c r="A104" s="383"/>
      <c r="B104" s="1873" t="s">
        <v>1069</v>
      </c>
      <c r="C104" s="1874">
        <f>C103/312</f>
        <v>250</v>
      </c>
      <c r="D104" s="1875" t="s">
        <v>21</v>
      </c>
      <c r="E104" s="1876"/>
      <c r="F104" s="1876"/>
      <c r="G104" s="1876"/>
      <c r="H104" s="1876"/>
      <c r="AI104" s="383"/>
    </row>
    <row r="105" spans="1:35" ht="15" hidden="1" customHeight="1" outlineLevel="1" x14ac:dyDescent="0.3">
      <c r="B105" s="1877" t="s">
        <v>1071</v>
      </c>
      <c r="C105" s="1874">
        <f>'R&amp;C-Painel de Controle'!D48</f>
        <v>84566.881126752647</v>
      </c>
      <c r="D105" s="1875" t="s">
        <v>298</v>
      </c>
      <c r="E105" s="1876"/>
      <c r="F105" s="1876"/>
      <c r="G105" s="1876"/>
      <c r="H105" s="1876"/>
    </row>
    <row r="106" spans="1:35" s="1783" customFormat="1" ht="15" hidden="1" customHeight="1" outlineLevel="1" x14ac:dyDescent="0.3">
      <c r="A106" s="383"/>
      <c r="B106" s="1877" t="s">
        <v>1086</v>
      </c>
      <c r="C106" s="1874">
        <f>C105/312</f>
        <v>271.04769591907899</v>
      </c>
      <c r="D106" s="1875" t="s">
        <v>21</v>
      </c>
      <c r="E106" s="1876"/>
      <c r="F106" s="1876"/>
      <c r="G106" s="1876"/>
      <c r="H106" s="1876"/>
      <c r="AI106" s="383"/>
    </row>
    <row r="107" spans="1:35" s="1783" customFormat="1" ht="15" hidden="1" customHeight="1" outlineLevel="1" x14ac:dyDescent="0.3">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3">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3760.2615683593749</v>
      </c>
      <c r="D108" s="1880" t="s">
        <v>306</v>
      </c>
      <c r="E108" s="1876"/>
      <c r="F108" s="1876"/>
      <c r="G108" s="1876"/>
      <c r="H108" s="1876"/>
      <c r="AI108" s="383"/>
    </row>
    <row r="109" spans="1:35" s="1783" customFormat="1" ht="15" hidden="1" customHeight="1" outlineLevel="1" x14ac:dyDescent="0.3">
      <c r="A109" s="383"/>
      <c r="B109" s="1878" t="s">
        <v>1079</v>
      </c>
      <c r="C109" s="1881">
        <f>'R&amp;C-Painel de Controle'!D68</f>
        <v>0</v>
      </c>
      <c r="D109" s="1882" t="s">
        <v>331</v>
      </c>
      <c r="E109" s="1876"/>
      <c r="F109" s="1876"/>
      <c r="G109" s="1876"/>
      <c r="H109" s="1876"/>
      <c r="AI109" s="383"/>
    </row>
    <row r="110" spans="1:35" ht="15" hidden="1" customHeight="1" outlineLevel="1" thickBot="1" x14ac:dyDescent="0.35"/>
    <row r="111" spans="1:35" ht="15" hidden="1" customHeight="1" outlineLevel="1" thickTop="1" x14ac:dyDescent="0.3">
      <c r="B111" s="1825" t="s">
        <v>1072</v>
      </c>
      <c r="C111" s="1837"/>
      <c r="D111" s="1826"/>
      <c r="E111" s="1826"/>
      <c r="F111" s="1826"/>
      <c r="G111" s="1826"/>
      <c r="H111" s="1826"/>
    </row>
    <row r="112" spans="1:35" s="1735" customFormat="1" ht="15" hidden="1" customHeight="1" outlineLevel="1" x14ac:dyDescent="0.3">
      <c r="A112" s="1745"/>
      <c r="B112" s="1883"/>
      <c r="C112" s="1887">
        <f>'R-Resumo Bal. Massa'!G51</f>
        <v>35.129999999999995</v>
      </c>
      <c r="D112" s="1884" t="s">
        <v>1065</v>
      </c>
      <c r="E112" s="1885"/>
      <c r="F112" s="1885"/>
      <c r="G112" s="1885"/>
      <c r="H112" s="1885"/>
      <c r="AI112" s="1745"/>
    </row>
    <row r="113" spans="1:35" ht="15" hidden="1" customHeight="1" outlineLevel="1" x14ac:dyDescent="0.3">
      <c r="B113" s="1793"/>
      <c r="C113" s="1809">
        <f>C112*312*$C$106/$C$104/1000</f>
        <v>11.883338135931279</v>
      </c>
      <c r="D113" s="1827" t="s">
        <v>1063</v>
      </c>
      <c r="E113" s="1192"/>
      <c r="F113" s="1192"/>
      <c r="G113" s="1192"/>
      <c r="H113" s="1192"/>
    </row>
    <row r="114" spans="1:35" ht="15" hidden="1" customHeight="1" outlineLevel="1" x14ac:dyDescent="0.3">
      <c r="B114" s="1832" t="s">
        <v>1073</v>
      </c>
      <c r="C114" s="1839"/>
      <c r="D114" s="1833"/>
      <c r="E114" s="1833"/>
      <c r="F114" s="1833"/>
      <c r="G114" s="1833"/>
      <c r="H114" s="1833"/>
    </row>
    <row r="115" spans="1:35" s="1735" customFormat="1" ht="15" hidden="1" customHeight="1" outlineLevel="1" x14ac:dyDescent="0.3">
      <c r="A115" s="1745"/>
      <c r="B115" s="1883"/>
      <c r="C115" s="1887">
        <f>'R-Resumo Bal. Massa'!G49</f>
        <v>100.89375000000001</v>
      </c>
      <c r="D115" s="1884" t="s">
        <v>1065</v>
      </c>
      <c r="E115" s="1885"/>
      <c r="F115" s="1885"/>
      <c r="G115" s="1885"/>
      <c r="H115" s="1885"/>
      <c r="AI115" s="1745"/>
    </row>
    <row r="116" spans="1:35" ht="15" hidden="1" customHeight="1" outlineLevel="1" x14ac:dyDescent="0.3">
      <c r="B116" s="1834"/>
      <c r="C116" s="1809">
        <f>C115*312*$C$106/$C$104/1000</f>
        <v>34.129079050729196</v>
      </c>
      <c r="D116" s="1835" t="s">
        <v>1063</v>
      </c>
      <c r="E116" s="1836"/>
      <c r="F116" s="1836"/>
      <c r="G116" s="1836"/>
      <c r="H116" s="1836"/>
    </row>
    <row r="117" spans="1:35" ht="15" hidden="1" customHeight="1" outlineLevel="1" x14ac:dyDescent="0.3">
      <c r="B117" s="1828" t="s">
        <v>1074</v>
      </c>
      <c r="C117" s="1838"/>
      <c r="D117" s="1192"/>
      <c r="E117" s="1192"/>
      <c r="F117" s="1192"/>
      <c r="G117" s="1192"/>
      <c r="H117" s="1192"/>
    </row>
    <row r="118" spans="1:35" s="1735" customFormat="1" ht="15" hidden="1" customHeight="1" outlineLevel="1" x14ac:dyDescent="0.3">
      <c r="A118" s="1745"/>
      <c r="B118" s="1883"/>
      <c r="C118" s="1887">
        <f>'R-Resumo Bal. Massa'!G50</f>
        <v>113.97624999999999</v>
      </c>
      <c r="D118" s="1884" t="s">
        <v>1065</v>
      </c>
      <c r="E118" s="1885"/>
      <c r="F118" s="1885"/>
      <c r="G118" s="1885"/>
      <c r="H118" s="1885"/>
      <c r="AI118" s="1745"/>
    </row>
    <row r="119" spans="1:35" ht="15" hidden="1" customHeight="1" outlineLevel="1" thickBot="1" x14ac:dyDescent="0.35">
      <c r="B119" s="1829"/>
      <c r="C119" s="1913">
        <f>C118*312*$C$106/$C$104/1000</f>
        <v>38.554463940092155</v>
      </c>
      <c r="D119" s="1830" t="s">
        <v>1063</v>
      </c>
      <c r="E119" s="1831"/>
      <c r="F119" s="1831"/>
      <c r="G119" s="1831"/>
      <c r="H119" s="1831"/>
    </row>
    <row r="120" spans="1:35" ht="15" hidden="1" customHeight="1" outlineLevel="1" thickTop="1" thickBot="1" x14ac:dyDescent="0.35">
      <c r="C120" s="1824"/>
    </row>
    <row r="121" spans="1:35" ht="15" hidden="1" customHeight="1" outlineLevel="1" thickTop="1" x14ac:dyDescent="0.3">
      <c r="B121" s="2391" t="s">
        <v>1075</v>
      </c>
      <c r="C121" s="1840"/>
      <c r="D121" s="1826"/>
      <c r="E121" s="1826"/>
      <c r="F121" s="1826"/>
      <c r="G121" s="1826"/>
      <c r="H121" s="1826"/>
    </row>
    <row r="122" spans="1:35" s="1783" customFormat="1" ht="15" hidden="1" customHeight="1" outlineLevel="1" x14ac:dyDescent="0.3">
      <c r="A122" s="383"/>
      <c r="B122" s="2389"/>
      <c r="C122" s="1888">
        <f>'R-Resumo Bal. Massa'!D64</f>
        <v>19.9375</v>
      </c>
      <c r="D122" s="1880" t="s">
        <v>1065</v>
      </c>
      <c r="E122" s="1876"/>
      <c r="F122" s="1876"/>
      <c r="G122" s="1876"/>
      <c r="H122" s="1876"/>
      <c r="AI122" s="383"/>
    </row>
    <row r="123" spans="1:35" s="1783" customFormat="1" ht="15" hidden="1" customHeight="1" outlineLevel="1" x14ac:dyDescent="0.3">
      <c r="A123" s="383"/>
      <c r="B123" s="2390"/>
      <c r="C123" s="1809">
        <f>C122*312*$C$106/$C$104/1000</f>
        <v>6.7442087698585231</v>
      </c>
      <c r="D123" s="1827" t="s">
        <v>1063</v>
      </c>
      <c r="E123" s="1192"/>
      <c r="F123" s="1192"/>
      <c r="G123" s="1192"/>
      <c r="H123" s="1192"/>
      <c r="AI123" s="383"/>
    </row>
    <row r="124" spans="1:35" ht="15" hidden="1" customHeight="1" outlineLevel="1" x14ac:dyDescent="0.3">
      <c r="B124" s="2388" t="s">
        <v>1081</v>
      </c>
      <c r="C124" s="1839"/>
      <c r="D124" s="1833"/>
      <c r="E124" s="1833"/>
      <c r="F124" s="1833"/>
      <c r="G124" s="1833"/>
      <c r="H124" s="1833"/>
    </row>
    <row r="125" spans="1:35" s="1783" customFormat="1" ht="15" hidden="1" customHeight="1" outlineLevel="1" x14ac:dyDescent="0.3">
      <c r="A125" s="383"/>
      <c r="B125" s="2389"/>
      <c r="C125" s="1888">
        <f>'R-Resumo Bal. Massa'!D73</f>
        <v>44.887500000000003</v>
      </c>
      <c r="D125" s="1880" t="s">
        <v>1065</v>
      </c>
      <c r="E125" s="1876"/>
      <c r="F125" s="1876"/>
      <c r="G125" s="1876"/>
      <c r="H125" s="1876"/>
      <c r="AI125" s="383"/>
    </row>
    <row r="126" spans="1:35" s="1783" customFormat="1" ht="15" hidden="1" customHeight="1" outlineLevel="1" x14ac:dyDescent="0.3">
      <c r="A126" s="383"/>
      <c r="B126" s="2390"/>
      <c r="C126" s="1809">
        <f>C125*312*$C$106/$C$104/1000</f>
        <v>15.183983506308438</v>
      </c>
      <c r="D126" s="1827" t="s">
        <v>1063</v>
      </c>
      <c r="E126" s="1192"/>
      <c r="F126" s="1192"/>
      <c r="G126" s="1192"/>
      <c r="H126" s="1192"/>
      <c r="AI126" s="383"/>
    </row>
    <row r="127" spans="1:35" ht="15" hidden="1" customHeight="1" outlineLevel="1" x14ac:dyDescent="0.3">
      <c r="B127" s="2388" t="s">
        <v>1064</v>
      </c>
      <c r="C127" s="1839"/>
      <c r="D127" s="1833"/>
      <c r="E127" s="1833"/>
      <c r="F127" s="1833"/>
      <c r="G127" s="1833"/>
      <c r="H127" s="1833"/>
    </row>
    <row r="128" spans="1:35" s="1783" customFormat="1" ht="15" hidden="1" customHeight="1" outlineLevel="1" x14ac:dyDescent="0.3">
      <c r="A128" s="383"/>
      <c r="B128" s="2389"/>
      <c r="C128" s="1888">
        <f>'R-Resumo Bal. Massa'!D69</f>
        <v>49.15124999999999</v>
      </c>
      <c r="D128" s="1880" t="s">
        <v>1065</v>
      </c>
      <c r="E128" s="1876"/>
      <c r="F128" s="1876"/>
      <c r="G128" s="1876"/>
      <c r="H128" s="1876"/>
      <c r="AI128" s="383"/>
    </row>
    <row r="129" spans="1:35" s="1783" customFormat="1" ht="15" hidden="1" customHeight="1" outlineLevel="1" x14ac:dyDescent="0.3">
      <c r="A129" s="383"/>
      <c r="B129" s="2390"/>
      <c r="C129" s="1809">
        <f>C128*312*$C$106/$C$104/1000</f>
        <v>16.626271663925198</v>
      </c>
      <c r="D129" s="1835" t="s">
        <v>1063</v>
      </c>
      <c r="E129" s="1836"/>
      <c r="F129" s="1836"/>
      <c r="G129" s="1836"/>
      <c r="H129" s="1836"/>
      <c r="AI129" s="383"/>
    </row>
    <row r="130" spans="1:35" ht="15" hidden="1" customHeight="1" outlineLevel="1" x14ac:dyDescent="0.3">
      <c r="B130" s="2388" t="s">
        <v>1123</v>
      </c>
      <c r="C130" s="2100">
        <f>IF('R-Definição'!E112&gt;0,'R-Definição'!O111/'R-Definição'!E112,0)</f>
        <v>0</v>
      </c>
      <c r="D130" s="1796" t="s">
        <v>1122</v>
      </c>
      <c r="E130" s="1192"/>
      <c r="F130" s="1192"/>
      <c r="G130" s="1192"/>
      <c r="H130" s="1192"/>
    </row>
    <row r="131" spans="1:35" s="1783" customFormat="1" ht="15" hidden="1" customHeight="1" outlineLevel="1" x14ac:dyDescent="0.3">
      <c r="A131" s="383"/>
      <c r="B131" s="2389"/>
      <c r="C131" s="2101">
        <f>C130*C106</f>
        <v>0</v>
      </c>
      <c r="D131" s="1880" t="s">
        <v>1067</v>
      </c>
      <c r="E131" s="1876"/>
      <c r="F131" s="1876"/>
      <c r="G131" s="1876"/>
      <c r="H131" s="1876"/>
      <c r="AI131" s="383"/>
    </row>
    <row r="132" spans="1:35" s="1783" customFormat="1" ht="15" hidden="1" customHeight="1" outlineLevel="1" x14ac:dyDescent="0.3">
      <c r="A132" s="383"/>
      <c r="B132" s="2390"/>
      <c r="C132" s="1867">
        <f>C130*C105/1000</f>
        <v>0</v>
      </c>
      <c r="D132" s="1835" t="s">
        <v>306</v>
      </c>
      <c r="E132" s="1836"/>
      <c r="F132" s="1836"/>
      <c r="G132" s="1836"/>
      <c r="H132" s="1836"/>
      <c r="AI132" s="383"/>
    </row>
    <row r="133" spans="1:35" s="2099" customFormat="1" ht="15" hidden="1" customHeight="1" outlineLevel="1" x14ac:dyDescent="0.3">
      <c r="A133" s="383"/>
      <c r="B133" s="2388" t="s">
        <v>1124</v>
      </c>
      <c r="C133" s="1838">
        <f>IF(AND('R-Definição'!O62&gt;0,'R-Definição'!J65&gt;0),('R-Definição'!O69/('R-Definição'!O62*'R-Definição'!J65/100)),0)</f>
        <v>0</v>
      </c>
      <c r="D133" s="1796" t="s">
        <v>1095</v>
      </c>
      <c r="E133" s="1192"/>
      <c r="F133" s="1192"/>
      <c r="G133" s="1192"/>
      <c r="H133" s="1192"/>
      <c r="AI133" s="383"/>
    </row>
    <row r="134" spans="1:35" s="2099" customFormat="1" ht="15" hidden="1" customHeight="1" outlineLevel="1" x14ac:dyDescent="0.3">
      <c r="A134" s="383"/>
      <c r="B134" s="2389"/>
      <c r="C134" s="1916">
        <f>C133*C106*C107</f>
        <v>0</v>
      </c>
      <c r="D134" s="1880" t="s">
        <v>1067</v>
      </c>
      <c r="E134" s="1876"/>
      <c r="F134" s="1876"/>
      <c r="G134" s="1876"/>
      <c r="H134" s="1876"/>
      <c r="AI134" s="383"/>
    </row>
    <row r="135" spans="1:35" s="2099" customFormat="1" ht="15" hidden="1" customHeight="1" outlineLevel="1" x14ac:dyDescent="0.3">
      <c r="A135" s="383"/>
      <c r="B135" s="2390"/>
      <c r="C135" s="1867">
        <f>C133*C105*C107/1000</f>
        <v>0</v>
      </c>
      <c r="D135" s="1835" t="s">
        <v>306</v>
      </c>
      <c r="E135" s="1836"/>
      <c r="F135" s="1836"/>
      <c r="G135" s="1836"/>
      <c r="H135" s="1836"/>
      <c r="AI135" s="383"/>
    </row>
    <row r="136" spans="1:35" ht="15" hidden="1" customHeight="1" outlineLevel="1" x14ac:dyDescent="0.3">
      <c r="B136" s="2388" t="s">
        <v>238</v>
      </c>
      <c r="C136" s="1838">
        <f>IF(AND('R-Definição'!O62&gt;0,'R-Definição'!J64&gt;0),('R-Definição'!O70/('R-Definição'!O62*'R-Definição'!J64/100)),0)</f>
        <v>0</v>
      </c>
      <c r="D136" s="1917" t="s">
        <v>1096</v>
      </c>
      <c r="E136" s="1192"/>
      <c r="F136" s="1192"/>
      <c r="G136" s="1192"/>
      <c r="H136" s="1192"/>
    </row>
    <row r="137" spans="1:35" s="1783" customFormat="1" ht="15" hidden="1" customHeight="1" outlineLevel="1" x14ac:dyDescent="0.3">
      <c r="A137" s="383"/>
      <c r="B137" s="2389"/>
      <c r="C137" s="1916">
        <f>C136*C106*C107</f>
        <v>0</v>
      </c>
      <c r="D137" s="1880" t="s">
        <v>1068</v>
      </c>
      <c r="E137" s="1876"/>
      <c r="F137" s="1876"/>
      <c r="G137" s="1876"/>
      <c r="H137" s="1876"/>
      <c r="AI137" s="383"/>
    </row>
    <row r="138" spans="1:35" s="1783" customFormat="1" ht="15" hidden="1" customHeight="1" outlineLevel="1" x14ac:dyDescent="0.3">
      <c r="A138" s="383"/>
      <c r="B138" s="2389"/>
      <c r="C138" s="1867">
        <f>C136*C105*C107</f>
        <v>0</v>
      </c>
      <c r="D138" s="1884" t="s">
        <v>1077</v>
      </c>
      <c r="E138" s="1876"/>
      <c r="F138" s="1876"/>
      <c r="G138" s="1876"/>
      <c r="H138" s="1876"/>
      <c r="AI138" s="383"/>
    </row>
    <row r="139" spans="1:35" ht="15" hidden="1" customHeight="1" outlineLevel="1" thickBot="1" x14ac:dyDescent="0.35">
      <c r="B139" s="1886" t="s">
        <v>1076</v>
      </c>
      <c r="C139" s="1868">
        <f>(C138*90%)/1000</f>
        <v>0</v>
      </c>
      <c r="D139" s="1830" t="s">
        <v>1080</v>
      </c>
      <c r="E139" s="1831"/>
      <c r="F139" s="1831"/>
      <c r="G139" s="1831"/>
      <c r="H139" s="1831"/>
    </row>
    <row r="140" spans="1:35" ht="15" customHeight="1" thickTop="1" x14ac:dyDescent="0.3"/>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9.44140625" hidden="1" customWidth="1"/>
    <col min="25" max="25" width="9.6640625" hidden="1" customWidth="1"/>
    <col min="26" max="27" width="9.44140625" hidden="1" customWidth="1"/>
    <col min="28" max="28" width="8.6640625" customWidth="1"/>
  </cols>
  <sheetData>
    <row r="1" spans="1:28" s="352" customFormat="1" ht="19.95" customHeight="1" x14ac:dyDescent="0.3">
      <c r="A1" s="478"/>
      <c r="B1" s="2406"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95" customHeight="1" x14ac:dyDescent="0.35">
      <c r="A2" s="482"/>
      <c r="B2" s="2406"/>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4" t="str">
        <f>'R-Definição'!D2</f>
        <v>CIRSOP - Consórcio RSU Oeste Paulista</v>
      </c>
      <c r="R2" s="2405"/>
      <c r="S2" s="1051"/>
      <c r="T2" s="1053" t="s">
        <v>486</v>
      </c>
      <c r="U2" s="2404" t="str">
        <f>'R-Definição'!D3</f>
        <v>Biodigestão c/ Prod. E. Elétrica</v>
      </c>
      <c r="V2" s="2405"/>
      <c r="W2" s="353"/>
      <c r="X2" s="353"/>
      <c r="Y2" s="353"/>
      <c r="Z2" s="353"/>
      <c r="AA2" s="353"/>
      <c r="AB2" s="353"/>
    </row>
    <row r="3" spans="1:28" s="352" customFormat="1" ht="19.95" customHeight="1" x14ac:dyDescent="0.3">
      <c r="A3" s="478"/>
      <c r="B3" s="2406"/>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3">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7" customHeight="1" x14ac:dyDescent="0.3">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5">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95" customHeight="1" thickBot="1" x14ac:dyDescent="0.4">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7" customHeight="1" thickTop="1" thickBot="1" x14ac:dyDescent="0.4">
      <c r="A9" s="1045"/>
      <c r="B9" s="2398" t="s">
        <v>691</v>
      </c>
      <c r="C9" s="1099"/>
      <c r="D9" s="2401" t="s">
        <v>696</v>
      </c>
      <c r="E9" s="2402"/>
      <c r="F9" s="2402"/>
      <c r="G9" s="2402"/>
      <c r="H9" s="2402"/>
      <c r="I9" s="2402"/>
      <c r="J9" s="2402"/>
      <c r="K9" s="2402"/>
      <c r="L9" s="2402"/>
      <c r="M9" s="2402"/>
      <c r="N9" s="2402"/>
      <c r="O9" s="2402"/>
      <c r="P9" s="2402"/>
      <c r="Q9" s="2402"/>
      <c r="R9" s="2402"/>
      <c r="S9" s="2402"/>
      <c r="T9" s="2402"/>
      <c r="U9" s="2402"/>
      <c r="V9" s="2403"/>
      <c r="W9" s="1046"/>
      <c r="X9" s="1046"/>
      <c r="Y9" s="1046"/>
      <c r="Z9" s="1046"/>
      <c r="AA9" s="1046"/>
      <c r="AB9" s="1046"/>
    </row>
    <row r="10" spans="1:28" s="352" customFormat="1" ht="7.5" customHeight="1" x14ac:dyDescent="0.3">
      <c r="A10" s="478"/>
      <c r="B10" s="2399"/>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7" customHeight="1" thickBot="1" x14ac:dyDescent="0.35">
      <c r="A11" s="1032"/>
      <c r="B11" s="2400"/>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5">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95" customHeight="1" thickTop="1" thickBot="1" x14ac:dyDescent="0.4">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3">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7" customHeight="1" x14ac:dyDescent="0.3">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7" customHeight="1" x14ac:dyDescent="0.3">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7" customHeight="1" x14ac:dyDescent="0.3">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7" customHeight="1" x14ac:dyDescent="0.3">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95" customHeight="1" collapsed="1" thickBot="1" x14ac:dyDescent="0.4">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7" hidden="1" customHeight="1" outlineLevel="1" thickTop="1" x14ac:dyDescent="0.3">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7" hidden="1" customHeight="1" outlineLevel="1" x14ac:dyDescent="0.3">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7" hidden="1" customHeight="1" outlineLevel="1" x14ac:dyDescent="0.3">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7" hidden="1" customHeight="1" outlineLevel="1" x14ac:dyDescent="0.3">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95" customHeight="1" thickTop="1" thickBot="1" x14ac:dyDescent="0.35">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5">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7" customHeight="1" collapsed="1" thickTop="1" thickBot="1" x14ac:dyDescent="0.35">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7" hidden="1" customHeight="1" outlineLevel="1" thickTop="1" x14ac:dyDescent="0.3">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7" hidden="1" customHeight="1" outlineLevel="1" x14ac:dyDescent="0.3">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7" hidden="1" customHeight="1" outlineLevel="1" x14ac:dyDescent="0.3">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7" hidden="1" customHeight="1" outlineLevel="1" thickBot="1" x14ac:dyDescent="0.35">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7" customHeight="1" collapsed="1" thickTop="1" thickBot="1" x14ac:dyDescent="0.35">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7" hidden="1" customHeight="1" outlineLevel="1" thickTop="1" x14ac:dyDescent="0.3">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7" hidden="1" customHeight="1" outlineLevel="1" thickBot="1" x14ac:dyDescent="0.35">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7" customHeight="1" collapsed="1" thickTop="1" thickBot="1" x14ac:dyDescent="0.35">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7" hidden="1" customHeight="1" outlineLevel="1" thickTop="1" x14ac:dyDescent="0.3">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7" hidden="1" customHeight="1" outlineLevel="1" thickBot="1" x14ac:dyDescent="0.35">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7" customHeight="1" collapsed="1" thickTop="1" thickBot="1" x14ac:dyDescent="0.35">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7" hidden="1" customHeight="1" outlineLevel="1" thickTop="1" x14ac:dyDescent="0.3">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7" hidden="1" customHeight="1" outlineLevel="1" thickBot="1" x14ac:dyDescent="0.35">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7" customHeight="1" thickTop="1" thickBot="1" x14ac:dyDescent="0.35">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95" customHeight="1" thickTop="1" thickBot="1" x14ac:dyDescent="0.4">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95" customHeight="1" thickTop="1" thickBot="1" x14ac:dyDescent="0.4">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7" customHeight="1" thickTop="1" thickBot="1" x14ac:dyDescent="0.35">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7" customHeight="1" thickTop="1" thickBot="1" x14ac:dyDescent="0.35">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V12" sqref="V12"/>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8.6640625" hidden="1" customWidth="1"/>
    <col min="28" max="28" width="8.6640625" customWidth="1"/>
  </cols>
  <sheetData>
    <row r="1" spans="1:28" ht="19.95" customHeight="1" x14ac:dyDescent="0.3">
      <c r="A1" s="448"/>
      <c r="B1" s="2413"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95" customHeight="1" x14ac:dyDescent="0.35">
      <c r="A2" s="485"/>
      <c r="B2" s="2413"/>
      <c r="C2" s="487"/>
      <c r="D2" s="1097">
        <f>('R-Resumo Bal. Massa'!B20+'R-Resumo Bal. Massa'!B21)*(1+'R&amp;C-Painel de Controle'!H56)</f>
        <v>250</v>
      </c>
      <c r="E2" s="1098" t="s">
        <v>21</v>
      </c>
      <c r="H2" s="1305">
        <f>D2*313</f>
        <v>78250</v>
      </c>
      <c r="I2" s="1304" t="s">
        <v>298</v>
      </c>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row>
    <row r="3" spans="1:28"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7" customHeight="1" x14ac:dyDescent="0.3">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95" customHeight="1" x14ac:dyDescent="0.35">
      <c r="A7" s="1073"/>
      <c r="B7" s="1038"/>
      <c r="C7" s="1038"/>
      <c r="D7" s="1038"/>
      <c r="E7" s="1254" t="str">
        <f>IF(AND(L2="Sim",$D$2&gt;D11,$D$2&lt;=F11),"SIM","NÃO")</f>
        <v>SIM</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7" customHeight="1" thickTop="1" thickBot="1" x14ac:dyDescent="0.4">
      <c r="A9" s="1189"/>
      <c r="B9" s="2407" t="s">
        <v>691</v>
      </c>
      <c r="C9" s="1099"/>
      <c r="D9" s="2410" t="s">
        <v>695</v>
      </c>
      <c r="E9" s="2411"/>
      <c r="F9" s="2411"/>
      <c r="G9" s="2411"/>
      <c r="H9" s="2411"/>
      <c r="I9" s="2411"/>
      <c r="J9" s="2411"/>
      <c r="K9" s="2411"/>
      <c r="L9" s="2411"/>
      <c r="M9" s="2411"/>
      <c r="N9" s="2411"/>
      <c r="O9" s="2411"/>
      <c r="P9" s="2411"/>
      <c r="Q9" s="2411"/>
      <c r="R9" s="2411"/>
      <c r="S9" s="2411"/>
      <c r="T9" s="2411"/>
      <c r="U9" s="2411"/>
      <c r="V9" s="2412"/>
      <c r="W9" s="1269"/>
      <c r="X9" s="1079"/>
      <c r="Y9" s="1079"/>
      <c r="Z9" s="1079"/>
      <c r="AA9" s="1079"/>
      <c r="AB9" s="1079"/>
    </row>
    <row r="10" spans="1:28" s="1076" customFormat="1" ht="7.5" customHeight="1" x14ac:dyDescent="0.35">
      <c r="A10" s="118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7" customHeight="1" thickBot="1" x14ac:dyDescent="0.4">
      <c r="A11" s="1189"/>
      <c r="B11" s="2409"/>
      <c r="C11" s="1099"/>
      <c r="D11" s="1264">
        <v>24</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5000</v>
      </c>
      <c r="W11" s="1269"/>
      <c r="X11" s="1079"/>
      <c r="Y11" s="1079"/>
      <c r="Z11" s="1079"/>
      <c r="AA11" s="1079"/>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95" customHeight="1" thickTop="1" thickBot="1" x14ac:dyDescent="0.35">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3">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7" customHeight="1" x14ac:dyDescent="0.3">
      <c r="A15" s="1187"/>
      <c r="B15" s="1111" t="s">
        <v>425</v>
      </c>
      <c r="C15" s="1058"/>
      <c r="D15" s="1275">
        <f>IF('R-Definição'!$I$34="Alta",(14961570+179440+150030)/313000,(14961570+179440+150030)/313000*0.85)</f>
        <v>41.525188498402549</v>
      </c>
      <c r="E15" s="1035">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38.27729587999999</v>
      </c>
      <c r="F15" s="1115">
        <v>0.1</v>
      </c>
      <c r="G15" s="1058"/>
      <c r="H15" s="1275">
        <f>IF('R-Definição'!$I$34="Alta",(14961570+179440+150030)/313000,(14961570+179440+150030)/313000*0.85)</f>
        <v>41.525188498402549</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115">
        <v>0.1</v>
      </c>
      <c r="K15" s="1058"/>
      <c r="L15" s="1275">
        <f>IF('R-Definição'!$I$34="Alta",(14961570+179440+150030)/313000,(14961570+179440+150030)/313000*0.85)</f>
        <v>41.525188498402549</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f>
        <v>41.525188498402549</v>
      </c>
      <c r="Q15" s="1035" t="str">
        <f>IF(Q7="SIM",(((P15*$H$2/1000)*1*Q21*$D$5*(1+'R&amp;C-Painel de Controle'!$D$61)+(P15*$H$2/1000)*1*(1-Q21)*'R&amp;C-Painel de Controle'!$D$52*(1+'R&amp;C-Painel de Controle'!$D$54))/1000), "-")</f>
        <v>-</v>
      </c>
      <c r="R15" s="1115">
        <v>0.1</v>
      </c>
      <c r="S15" s="1191"/>
      <c r="T15" s="1275">
        <f>IF('R-Definição'!$I$34="Alta",(14961570+179440+150030)/313000,(14961570+179440+150030)/313000*0.85)</f>
        <v>41.525188498402549</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7" customHeight="1" x14ac:dyDescent="0.3">
      <c r="A16" s="1187"/>
      <c r="B16" s="1111" t="s">
        <v>692</v>
      </c>
      <c r="C16" s="1058"/>
      <c r="D16" s="1116">
        <v>2000</v>
      </c>
      <c r="E16" s="1035">
        <f>(IF(E$7="SIM",(((D17-F17)*'R&amp;C-Painel de Controle'!$D$57+F17*('R&amp;C-Painel de Controle'!$D$60)+(((75)+(15+E30/5*30)+(25+E30/10*25))*D16)))/1000000,"-"))</f>
        <v>11.494862787525831</v>
      </c>
      <c r="F16" s="1117">
        <v>0.05</v>
      </c>
      <c r="G16" s="1058"/>
      <c r="H16" s="1116">
        <v>2000</v>
      </c>
      <c r="I16" s="1035" t="str">
        <f>(IF(I$7="SIM",(((H17-J17)*'R&amp;C-Painel de Controle'!$D$57+J17*('R&amp;C-Painel de Controle'!$D$60)+(((150)+(15+I30/5*30)+(25+I30/10*25))*H16)))/1000000,"-"))</f>
        <v>-</v>
      </c>
      <c r="J16" s="1117">
        <v>0.05</v>
      </c>
      <c r="K16" s="1058"/>
      <c r="L16" s="1116">
        <v>2000</v>
      </c>
      <c r="M16" s="1035" t="str">
        <f>(IF(M$7="SIM",(((L17-N17)*'R&amp;C-Painel de Controle'!$D$57+N17*('R&amp;C-Painel de Controle'!$D$60)+(((150)+(15+M30/5*30)+(25+M30/10*25))*L16)))/1000000,"-"))</f>
        <v>-</v>
      </c>
      <c r="N16" s="1117">
        <v>0.05</v>
      </c>
      <c r="O16" s="1058"/>
      <c r="P16" s="1116">
        <v>2000</v>
      </c>
      <c r="Q16" s="1035" t="str">
        <f>(IF(Q$7="SIM",(((P17-R17)*'R&amp;C-Painel de Controle'!$D$57+R17*('R&amp;C-Painel de Controle'!$D$60)+(((250)+(15+Q30/5*30)+(25+Q30/10*25))*P16)))/1000000,"-"))</f>
        <v>-</v>
      </c>
      <c r="R16" s="1117">
        <v>0.05</v>
      </c>
      <c r="S16" s="1191"/>
      <c r="T16" s="1116">
        <v>2000</v>
      </c>
      <c r="U16" s="1035" t="str">
        <f>(IF(U$7="SIM",(((T17-V17)*'R&amp;C-Painel de Controle'!$D$57+V17*('R&amp;C-Painel de Controle'!$D$60)+(((250)+(15+U30/5*30)+(25+U30/10*25))*T16)))/1000000,"-"))</f>
        <v>-</v>
      </c>
      <c r="V16" s="1117">
        <v>0.05</v>
      </c>
      <c r="W16" s="1193">
        <v>8.0029804791094481</v>
      </c>
      <c r="X16" s="861">
        <v>9.735510696599782</v>
      </c>
      <c r="Y16" s="861">
        <v>15.844336665618133</v>
      </c>
      <c r="Z16" s="861">
        <v>19.108266044899672</v>
      </c>
      <c r="AA16" s="861">
        <v>27.725632137977193</v>
      </c>
      <c r="AB16" s="42"/>
    </row>
    <row r="17" spans="1:28" s="862" customFormat="1" ht="17.7" customHeight="1" x14ac:dyDescent="0.3">
      <c r="A17" s="1187"/>
      <c r="B17" s="1111" t="s">
        <v>845</v>
      </c>
      <c r="C17" s="1058"/>
      <c r="D17" s="1118">
        <f>(2*(20*(20+(SQRT(F17))+20))+2*(20*(F17/(SQRT(F17))))+F17+((75)+(15+E30/5*30)+(25+E30/10*25)))</f>
        <v>12134.725575051662</v>
      </c>
      <c r="E17" s="1035">
        <f>(IF(E$7="SIM",('R&amp;C-Painel de Controle'!$D$55+0.25)*D17/1000000,"-"))</f>
        <v>3.0336813937629154E-3</v>
      </c>
      <c r="F17" s="1119">
        <f>IF('R-Definição'!$I$34="Alta",(50*15+50*100+50*10),(50*15+50*100+50*10)*0.75)</f>
        <v>4687.5</v>
      </c>
      <c r="G17" s="1058"/>
      <c r="H17" s="1118">
        <f>(2*(20*(20+(SQRT(J17))+20))+2*(20*(J17/(SQRT(J17))))+J17+((150)+(15+I30/5*30)+(25+I30/10*25)))</f>
        <v>14241.773353931867</v>
      </c>
      <c r="I17" s="1035" t="str">
        <f>(IF(I$7="SIM",('R&amp;C-Painel de Controle'!$D$55+0.25)*H17/1000000,"-"))</f>
        <v>-</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7" customHeight="1" x14ac:dyDescent="0.3">
      <c r="A18" s="1187"/>
      <c r="B18" s="1111" t="s">
        <v>487</v>
      </c>
      <c r="C18" s="1058"/>
      <c r="D18" s="1276">
        <f>IF(E7="SIM",(E15+E16)*F18*1000/$H$2,"-")</f>
        <v>4.7704944409769155E-2</v>
      </c>
      <c r="E18" s="1035">
        <f>(IF(E$7="SIM",$H$2*D18/1000,"-"))</f>
        <v>3.7329119000644364</v>
      </c>
      <c r="F18" s="1115">
        <v>7.4999999999999997E-2</v>
      </c>
      <c r="G18" s="1058"/>
      <c r="H18" s="1276" t="str">
        <f>IF(I7="SIM",(I15+I16)*J18*1000/$H$2,"-")</f>
        <v>-</v>
      </c>
      <c r="I18" s="1035" t="str">
        <f>(IF(I$7="SIM",$H$2*H18/1000,"-"))</f>
        <v>-</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95" customHeight="1" collapsed="1" thickBot="1" x14ac:dyDescent="0.4">
      <c r="A19" s="1188"/>
      <c r="B19" s="1112" t="s">
        <v>426</v>
      </c>
      <c r="C19" s="1102"/>
      <c r="D19" s="1252">
        <v>0.05</v>
      </c>
      <c r="E19" s="1120">
        <f>IF(E7="SIM",SUM(E15:E18)*(1+D19),"-")</f>
        <v>56.183509461433225</v>
      </c>
      <c r="F19" s="1251" t="s">
        <v>338</v>
      </c>
      <c r="G19" s="1102"/>
      <c r="H19" s="1252">
        <v>0.05</v>
      </c>
      <c r="I19" s="1120" t="str">
        <f>IF(I7="SIM",SUM(I15:I18)*(1+H19),"-")</f>
        <v>-</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7" hidden="1" customHeight="1" outlineLevel="1" thickTop="1" x14ac:dyDescent="0.3">
      <c r="A20" s="448"/>
      <c r="B20" s="1206" t="s">
        <v>427</v>
      </c>
      <c r="C20" s="928"/>
      <c r="D20" s="1207" t="s">
        <v>338</v>
      </c>
      <c r="E20" s="1208">
        <f>IF(E7="SIM",E19*1000000/$H$2,"-")</f>
        <v>718.00012091288465</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7" hidden="1" customHeight="1" outlineLevel="1" x14ac:dyDescent="0.3">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7" hidden="1" customHeight="1" outlineLevel="1" x14ac:dyDescent="0.3">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7" hidden="1" customHeight="1" outlineLevel="1" x14ac:dyDescent="0.3">
      <c r="A23" s="448"/>
      <c r="B23" s="931" t="s">
        <v>484</v>
      </c>
      <c r="C23" s="928"/>
      <c r="D23" s="372"/>
      <c r="E23" s="371">
        <f>IF(E7="SIM",(E15*F15+E16*F16)/4,"-")</f>
        <v>1.1006181818440726</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95" customHeight="1" thickTop="1" thickBot="1" x14ac:dyDescent="0.4">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3">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7" customHeight="1" x14ac:dyDescent="0.3">
      <c r="A27" s="1187"/>
      <c r="B27" s="1111" t="s">
        <v>430</v>
      </c>
      <c r="C27" s="1058"/>
      <c r="D27" s="1217"/>
      <c r="E27" s="1088">
        <f>(IF(E$7="SIM",(E31)*2.4*12/$H$2,"-"))</f>
        <v>50.791054313099039</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7" customHeight="1" outlineLevel="1" x14ac:dyDescent="0.3">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7" customHeight="1" outlineLevel="1" x14ac:dyDescent="0.3">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7" customHeight="1" outlineLevel="1" x14ac:dyDescent="0.3">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7" customHeight="1" outlineLevel="1" x14ac:dyDescent="0.3">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7" customHeight="1" collapsed="1" x14ac:dyDescent="0.3">
      <c r="A32" s="1187"/>
      <c r="B32" s="1111" t="s">
        <v>431</v>
      </c>
      <c r="C32" s="1058"/>
      <c r="D32" s="1217"/>
      <c r="E32" s="1088">
        <f>(IF(E$7="SIM",(E33*$H$2/1000*'R&amp;C-Painel de Controle'!$D$68+E34/1000*'R&amp;C-Painel de Controle'!$D$69*12)/$H$2,"-"))</f>
        <v>0</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7" hidden="1" customHeight="1" outlineLevel="1" x14ac:dyDescent="0.3">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7" hidden="1" customHeight="1" outlineLevel="1" x14ac:dyDescent="0.3">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7697.8125</v>
      </c>
      <c r="V34" s="1122"/>
      <c r="W34" s="1204"/>
      <c r="X34" s="45"/>
      <c r="Y34" s="45"/>
      <c r="Z34" s="45"/>
      <c r="AA34" s="45"/>
      <c r="AB34" s="54"/>
    </row>
    <row r="35" spans="1:28" s="862" customFormat="1" ht="17.7" customHeight="1" collapsed="1" x14ac:dyDescent="0.3">
      <c r="A35" s="1187"/>
      <c r="B35" s="1111" t="s">
        <v>432</v>
      </c>
      <c r="C35" s="1058"/>
      <c r="D35" s="1217"/>
      <c r="E35" s="1088">
        <f>(IF(E$7="SIM",(E15*1000000*E36+E37*12)/$H$2,"-"))</f>
        <v>37.347965681789127</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7" hidden="1" customHeight="1" outlineLevel="1" x14ac:dyDescent="0.3">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7" hidden="1" customHeight="1" outlineLevel="1" x14ac:dyDescent="0.3">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7" customHeight="1" collapsed="1" x14ac:dyDescent="0.3">
      <c r="A38" s="1187"/>
      <c r="B38" s="1111" t="s">
        <v>689</v>
      </c>
      <c r="C38" s="1058"/>
      <c r="D38" s="1274">
        <v>0.5</v>
      </c>
      <c r="E38" s="1088">
        <f>(IF(E$7="SIM",D38*E39*E40*12/$H$2,"-"))</f>
        <v>7.6677316293929714</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7" hidden="1" customHeight="1" outlineLevel="1" x14ac:dyDescent="0.3">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7" hidden="1" customHeight="1" outlineLevel="1" x14ac:dyDescent="0.3">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7" customHeight="1" x14ac:dyDescent="0.3">
      <c r="A41" s="1187"/>
      <c r="B41" s="1111" t="s">
        <v>439</v>
      </c>
      <c r="C41" s="1058"/>
      <c r="D41" s="1217"/>
      <c r="E41" s="1091">
        <f>(IF(E$7="SIM",7.5+1.5*'R&amp;C-Painel de Controle'!$D$74,"-"))</f>
        <v>12</v>
      </c>
      <c r="F41" s="1221"/>
      <c r="G41" s="1199"/>
      <c r="H41" s="1280"/>
      <c r="I41" s="1091" t="str">
        <f>(IF(I$7="SIM",7.5+1.5*'R&amp;C-Painel de Controle'!$D$74,"-"))</f>
        <v>-</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95" customHeight="1" x14ac:dyDescent="0.35">
      <c r="A42" s="1188"/>
      <c r="B42" s="1212" t="s">
        <v>435</v>
      </c>
      <c r="C42" s="1102"/>
      <c r="D42" s="1274">
        <v>0.1</v>
      </c>
      <c r="E42" s="1081">
        <f>(IF(E$7="SIM",(E27+E32+E35+E38+E41)*(1+D42),"-"))</f>
        <v>118.58742678670927</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205"/>
      <c r="X42" s="1075"/>
      <c r="Y42" s="1075"/>
      <c r="Z42" s="1075"/>
      <c r="AA42" s="1075"/>
      <c r="AB42" s="1083"/>
    </row>
    <row r="43" spans="1:28" s="1076" customFormat="1" ht="19.95" customHeight="1" x14ac:dyDescent="0.35">
      <c r="A43" s="1188"/>
      <c r="B43" s="1212" t="s">
        <v>436</v>
      </c>
      <c r="C43" s="1102"/>
      <c r="D43" s="1225"/>
      <c r="E43" s="1080">
        <f>(IF(E$7="SIM",E42*$H$2/1000000,"-"))</f>
        <v>9.2794661460600008</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7" customHeight="1" x14ac:dyDescent="0.3">
      <c r="A44" s="1187"/>
      <c r="B44" s="1213" t="s">
        <v>437</v>
      </c>
      <c r="C44" s="1058"/>
      <c r="D44" s="1220"/>
      <c r="E44" s="1093">
        <f>(IF(E$7="SIM",(((E27*$H$2/12)+(E34/1000*'R&amp;C-Painel de Controle'!$D$69*12)+(E37*12)+(E39*E40*12))/1000000),"-"))</f>
        <v>2.7311999999999999</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7" customHeight="1" thickBot="1" x14ac:dyDescent="0.35">
      <c r="A45" s="1187"/>
      <c r="B45" s="1214" t="s">
        <v>438</v>
      </c>
      <c r="C45" s="1058"/>
      <c r="D45" s="1228"/>
      <c r="E45" s="1229">
        <f>(IF(E$7="SIM",((E43-E44)*1000000)/$H$2,"-"))</f>
        <v>83.683912409712477</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V12" sqref="V12"/>
    </sheetView>
  </sheetViews>
  <sheetFormatPr defaultColWidth="14.44140625" defaultRowHeight="15" customHeight="1" outlineLevelRow="1" x14ac:dyDescent="0.3"/>
  <cols>
    <col min="1" max="1" width="1.6640625" style="1068" customWidth="1"/>
    <col min="2" max="2" width="60.6640625" style="1068" customWidth="1"/>
    <col min="3" max="3" width="1.6640625" style="1068" customWidth="1"/>
    <col min="4" max="4" width="11.6640625" style="1068" customWidth="1"/>
    <col min="5" max="5" width="15.6640625" style="1068" customWidth="1"/>
    <col min="6" max="6" width="11.6640625" style="1068" customWidth="1"/>
    <col min="7" max="7" width="1.6640625" style="1068" customWidth="1"/>
    <col min="8" max="8" width="11.6640625" style="1068" customWidth="1"/>
    <col min="9" max="9" width="15.6640625" style="1068" customWidth="1"/>
    <col min="10" max="10" width="11.6640625" style="1068" customWidth="1"/>
    <col min="11" max="11" width="1.6640625" style="1068" customWidth="1"/>
    <col min="12" max="12" width="11.6640625" style="1068" customWidth="1"/>
    <col min="13" max="13" width="15.6640625" style="1068" customWidth="1"/>
    <col min="14" max="14" width="11.6640625" style="1068" customWidth="1"/>
    <col min="15" max="15" width="1.6640625" style="1068" customWidth="1"/>
    <col min="16" max="16" width="11.6640625" style="1068" customWidth="1"/>
    <col min="17" max="17" width="15.6640625" style="1068" customWidth="1"/>
    <col min="18" max="18" width="11.6640625" style="1068" customWidth="1"/>
    <col min="19" max="19" width="1.6640625" style="1068" customWidth="1"/>
    <col min="20" max="20" width="11.6640625" style="1068" customWidth="1"/>
    <col min="21" max="21" width="15.6640625" style="1068" customWidth="1"/>
    <col min="22" max="22" width="11.6640625" style="1068" customWidth="1"/>
    <col min="23" max="27" width="8.6640625" style="1068" hidden="1" customWidth="1"/>
    <col min="28" max="61" width="8.6640625" style="1068" customWidth="1"/>
    <col min="62" max="16384" width="14.44140625" style="1068"/>
  </cols>
  <sheetData>
    <row r="1" spans="1:61" ht="19.95" customHeight="1" x14ac:dyDescent="0.3">
      <c r="B1" s="2413" t="s">
        <v>859</v>
      </c>
      <c r="C1" s="484"/>
      <c r="D1" s="484"/>
      <c r="E1" s="484"/>
      <c r="F1" s="484"/>
      <c r="G1" s="484"/>
      <c r="H1" s="484"/>
      <c r="I1" s="484"/>
      <c r="J1" s="484"/>
      <c r="K1" s="484"/>
      <c r="L1" s="484"/>
      <c r="M1" s="484"/>
      <c r="N1" s="484"/>
      <c r="O1" s="484"/>
      <c r="P1" s="484"/>
      <c r="Q1" s="484"/>
      <c r="R1" s="484"/>
      <c r="S1" s="484"/>
      <c r="T1" s="484"/>
      <c r="U1" s="484"/>
      <c r="V1" s="484"/>
    </row>
    <row r="2" spans="1:61" ht="19.95" customHeight="1" x14ac:dyDescent="0.35">
      <c r="A2" s="50"/>
      <c r="B2" s="2413"/>
      <c r="C2" s="487"/>
      <c r="D2" s="1097">
        <f>'R-Resumo Bal. Massa'!B30*(1+'R&amp;C-Painel de Controle'!H59)</f>
        <v>94.5</v>
      </c>
      <c r="E2" s="1098" t="s">
        <v>21</v>
      </c>
      <c r="F2" s="1069"/>
      <c r="G2" s="1069"/>
      <c r="H2" s="1305">
        <f>D2*313</f>
        <v>29578.5</v>
      </c>
      <c r="I2" s="1304" t="s">
        <v>298</v>
      </c>
      <c r="J2" s="1069"/>
      <c r="K2" s="1069"/>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B3" s="2413"/>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95" customHeight="1" x14ac:dyDescent="0.3">
      <c r="B7" s="1038"/>
      <c r="C7" s="1038"/>
      <c r="D7" s="1038"/>
      <c r="E7" s="1254" t="str">
        <f>IF(AND(L2="Sim",$D$2&gt;D11,$D$2&lt;=F11),"SIM","NÃO")</f>
        <v>SIM</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B9" s="2407" t="s">
        <v>691</v>
      </c>
      <c r="C9" s="1099"/>
      <c r="D9" s="2410" t="s">
        <v>697</v>
      </c>
      <c r="E9" s="2411"/>
      <c r="F9" s="2411"/>
      <c r="G9" s="2411"/>
      <c r="H9" s="2411"/>
      <c r="I9" s="2411"/>
      <c r="J9" s="2411"/>
      <c r="K9" s="2411"/>
      <c r="L9" s="2411"/>
      <c r="M9" s="2411"/>
      <c r="N9" s="2411"/>
      <c r="O9" s="2411"/>
      <c r="P9" s="2411"/>
      <c r="Q9" s="2411"/>
      <c r="R9" s="2411"/>
      <c r="S9" s="2411"/>
      <c r="T9" s="2411"/>
      <c r="U9" s="2411"/>
      <c r="V9" s="2412"/>
    </row>
    <row r="10" spans="1:61" ht="7.5" customHeight="1" x14ac:dyDescent="0.3">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B11" s="2409"/>
      <c r="C11" s="1099"/>
      <c r="D11" s="1264">
        <v>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2000</v>
      </c>
    </row>
    <row r="12" spans="1:61" ht="15" customHeight="1" thickTop="1" thickBot="1" x14ac:dyDescent="0.35">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95" customHeight="1" thickTop="1" thickBot="1" x14ac:dyDescent="0.35">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3">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7" customHeight="1" x14ac:dyDescent="0.3">
      <c r="A15" s="45"/>
      <c r="B15" s="1111" t="s">
        <v>425</v>
      </c>
      <c r="C15" s="1058"/>
      <c r="D15" s="1275">
        <f>IF('R-Definição'!$L$49&lt;=20,((500000*1/150+2089406/(1000*0.05))/1000),IF(AND('R-Definição'!$L$49&gt;20,'R-Definição'!$L$49&lt;=50),((500000*1/150+2089406/(1000*0.05))/1000)*1.3,IF('R-Definição'!$L$49&gt;50,((500000*1/150+2089406/(1000*0.05))/1000)*1.5,)))</f>
        <v>45.121453333333335</v>
      </c>
      <c r="E15" s="1035">
        <f>IF(E7="SIM",((((H15*(($D$2-D11)/(F11-D11))*$H$2/1000)*E21*$D$5*(1+'R&amp;C-Painel de Controle'!$D$61)+(H15*(($D$2-D11)/(F11-D11))*$H$2/1000)*(1-E21)*'R&amp;C-Painel de Controle'!$D$52*(1+'R&amp;C-Painel de Controle'!$D$54)))+(((D15*((F11-$D$2)/(F11-D11))*$H$2/1000)*E21*$D$5*(1+'R&amp;C-Painel de Controle'!$D$61)+(D15*((F11-$D$2)/(F11-D11))*$H$2/1000)*(1-E21)*'R&amp;C-Painel de Controle'!$D$52*(1+'R&amp;C-Painel de Controle'!$D$54))))/1000, "-")</f>
        <v>9.8261758808797488</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
      <c r="B16" s="1111" t="s">
        <v>692</v>
      </c>
      <c r="C16" s="1058"/>
      <c r="D16" s="1116" t="s">
        <v>338</v>
      </c>
      <c r="E16" s="1035">
        <f>(IF(E$7="SIM",(F17*('R&amp;C-Painel de Controle'!$D$60))/1000000,"-"))</f>
        <v>1.2375</v>
      </c>
      <c r="F16" s="1117">
        <v>0.05</v>
      </c>
      <c r="G16" s="1058"/>
      <c r="H16" s="1116" t="s">
        <v>338</v>
      </c>
      <c r="I16" s="1035" t="str">
        <f>(IF(I$7="SIM",(J17*('R&amp;C-Painel de Controle'!$D$60))/1000000,"-"))</f>
        <v>-</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
      <c r="B17" s="1111" t="s">
        <v>845</v>
      </c>
      <c r="C17" s="1058"/>
      <c r="D17" s="1118">
        <f>F17</f>
        <v>825</v>
      </c>
      <c r="E17" s="1035">
        <f>(IF(E$7="SIM",('R&amp;C-Painel de Controle'!$D$55+0.25)*D17/1000000,"-"))</f>
        <v>2.0625E-4</v>
      </c>
      <c r="F17" s="1119">
        <f>10*10+10*10+25*25</f>
        <v>825</v>
      </c>
      <c r="G17" s="1058"/>
      <c r="H17" s="1118">
        <f>J17</f>
        <v>2900</v>
      </c>
      <c r="I17" s="1035" t="str">
        <f>(IF(I$7="SIM",('R&amp;C-Painel de Controle'!$D$55+0.25)*H17/1000000,"-"))</f>
        <v>-</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
      <c r="B18" s="1111" t="s">
        <v>487</v>
      </c>
      <c r="C18" s="1058"/>
      <c r="D18" s="1276">
        <f>IF(E7="SIM",(E15+E16)*F18*1000/$H$2,"-")</f>
        <v>9.351113038930093E-3</v>
      </c>
      <c r="E18" s="1035">
        <f>(IF(E$7="SIM",$H$2*D18/1000,"-"))</f>
        <v>0.27659189702199377</v>
      </c>
      <c r="F18" s="1115">
        <v>2.5000000000000001E-2</v>
      </c>
      <c r="G18" s="1058"/>
      <c r="H18" s="1276" t="str">
        <f>IF(I7="SIM",(I15+I16)*J18*1000/$H$2,"-")</f>
        <v>-</v>
      </c>
      <c r="I18" s="1035" t="str">
        <f>(IF(I$7="SIM",$H$2*H18/1000,"-"))</f>
        <v>-</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95" customHeight="1" collapsed="1" thickBot="1" x14ac:dyDescent="0.35">
      <c r="A19" s="1075"/>
      <c r="B19" s="1112" t="s">
        <v>426</v>
      </c>
      <c r="C19" s="1102"/>
      <c r="D19" s="1252">
        <v>0.05</v>
      </c>
      <c r="E19" s="1120">
        <f>IF(E7="SIM",SUM(E15:E18)*(1+D19),"-")</f>
        <v>11.907497729296832</v>
      </c>
      <c r="F19" s="1251" t="s">
        <v>338</v>
      </c>
      <c r="G19" s="1102"/>
      <c r="H19" s="1252">
        <v>0.05</v>
      </c>
      <c r="I19" s="1120" t="str">
        <f>IF(I7="SIM",SUM(I15:I18)*(1+H19),"-")</f>
        <v>-</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3">
      <c r="B20" s="1206" t="s">
        <v>427</v>
      </c>
      <c r="C20" s="928"/>
      <c r="D20" s="1207" t="s">
        <v>338</v>
      </c>
      <c r="E20" s="1208">
        <f>IF(E7="SIM",E19*1000000/$H$2,"-")</f>
        <v>402.57273794468387</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3">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3">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3">
      <c r="B23" s="931" t="s">
        <v>484</v>
      </c>
      <c r="C23" s="928"/>
      <c r="D23" s="372"/>
      <c r="E23" s="371">
        <f>IF(E7="SIM",(E15*F15+E16*F16)/4,"-")</f>
        <v>0.26112314702199374</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5">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95" customHeight="1" thickTop="1" thickBot="1" x14ac:dyDescent="0.35">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3">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7" customHeight="1" collapsed="1" x14ac:dyDescent="0.3">
      <c r="A27" s="45"/>
      <c r="B27" s="1111" t="s">
        <v>430</v>
      </c>
      <c r="C27" s="1058"/>
      <c r="D27" s="1217"/>
      <c r="E27" s="1088">
        <f>(IF(E$7="SIM",(E31)*2.4*12/$H$2,"-"))</f>
        <v>17.52624372432679</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3">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3">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3">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7" customHeight="1" collapsed="1" x14ac:dyDescent="0.3">
      <c r="A32" s="45"/>
      <c r="B32" s="1111" t="s">
        <v>431</v>
      </c>
      <c r="C32" s="1058"/>
      <c r="D32" s="1217"/>
      <c r="E32" s="1088">
        <f>(IF(E$7="SIM",(E33*$H$2/1000*'R&amp;C-Painel de Controle'!$D$68+E34/1000*'R&amp;C-Painel de Controle'!$D$69*12)/$H$2,"-"))</f>
        <v>0</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3">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3363.75</v>
      </c>
      <c r="V34" s="1122"/>
    </row>
    <row r="35" spans="1:61" ht="17.7" customHeight="1" collapsed="1" x14ac:dyDescent="0.3">
      <c r="A35" s="45"/>
      <c r="B35" s="1111" t="s">
        <v>432</v>
      </c>
      <c r="C35" s="1058"/>
      <c r="D35" s="1217"/>
      <c r="E35" s="1088">
        <f>(IF(E$7="SIM",(E15*1000000*E36+E37*12)/$H$2,"-"))</f>
        <v>26.752837163615041</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3">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7" customHeight="1" collapsed="1" x14ac:dyDescent="0.3">
      <c r="A38" s="42"/>
      <c r="B38" s="1111" t="s">
        <v>689</v>
      </c>
      <c r="C38" s="1058"/>
      <c r="D38" s="1274">
        <v>0.5</v>
      </c>
      <c r="E38" s="1088">
        <f>(IF(E$7="SIM",D38*E39*E40*12/$H$2,"-"))</f>
        <v>1.0142502155281707</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3">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3">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7" customHeight="1" x14ac:dyDescent="0.3">
      <c r="A41" s="45"/>
      <c r="B41" s="1111" t="s">
        <v>439</v>
      </c>
      <c r="C41" s="1058"/>
      <c r="D41" s="1217"/>
      <c r="E41" s="1091">
        <f>(IF(E$7="SIM",2.5+2.5+1*'R&amp;C-Painel de Controle'!$D$74,"-"))</f>
        <v>8</v>
      </c>
      <c r="F41" s="1221"/>
      <c r="G41" s="1199"/>
      <c r="H41" s="1280"/>
      <c r="I41" s="1091" t="str">
        <f>(IF(I$7="SIM",2.5+2.5+1*'R&amp;C-Painel de Controle'!$D$74,"-"))</f>
        <v>-</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95" customHeight="1" x14ac:dyDescent="0.3">
      <c r="A42" s="1075"/>
      <c r="B42" s="1212" t="s">
        <v>435</v>
      </c>
      <c r="C42" s="1102"/>
      <c r="D42" s="1274">
        <v>0.1</v>
      </c>
      <c r="E42" s="1081">
        <f>(IF(E$7="SIM",(E27+E32+E35+E38+E41)*(1+D42),"-"))</f>
        <v>58.622664213817011</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95" customHeight="1" x14ac:dyDescent="0.3">
      <c r="A43" s="1075"/>
      <c r="B43" s="1212" t="s">
        <v>436</v>
      </c>
      <c r="C43" s="1102"/>
      <c r="D43" s="1225"/>
      <c r="E43" s="1080">
        <f>(IF(E$7="SIM",E42*$H$2/1000000,"-"))</f>
        <v>1.7339704734483865</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7" customHeight="1" x14ac:dyDescent="0.3">
      <c r="B44" s="1213" t="s">
        <v>437</v>
      </c>
      <c r="C44" s="1058"/>
      <c r="D44" s="1220"/>
      <c r="E44" s="1093">
        <f>(IF(E$7="SIM",(((E27*$H$2/12)+(E34/1000*'R&amp;C-Painel de Controle'!$D$69*12)+(E37*12)+(E39*E40*12))/1000000),"-"))</f>
        <v>0.4032</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7" customHeight="1" thickBot="1" x14ac:dyDescent="0.35">
      <c r="B45" s="1214" t="s">
        <v>438</v>
      </c>
      <c r="C45" s="1058"/>
      <c r="D45" s="1228"/>
      <c r="E45" s="1229">
        <f>(IF(E$7="SIM",((E43-E44)*1000000)/$H$2,"-"))</f>
        <v>44.991141317118391</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3">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3">
      <c r="B47" s="45"/>
    </row>
    <row r="48" spans="1:61" ht="14.25" customHeight="1" x14ac:dyDescent="0.3">
      <c r="B48" s="45"/>
    </row>
    <row r="49" spans="2:8" ht="14.25" customHeight="1" x14ac:dyDescent="0.3">
      <c r="B49" s="45"/>
    </row>
    <row r="50" spans="2:8" ht="14.25" customHeight="1" x14ac:dyDescent="0.3">
      <c r="B50" s="45"/>
    </row>
    <row r="51" spans="2:8" ht="14.25" customHeight="1" x14ac:dyDescent="0.3">
      <c r="B51" s="45"/>
      <c r="H51" s="383"/>
    </row>
    <row r="52" spans="2:8" ht="14.25" customHeight="1" x14ac:dyDescent="0.3">
      <c r="B52" s="45"/>
    </row>
    <row r="53" spans="2:8" ht="14.25" customHeight="1" x14ac:dyDescent="0.3">
      <c r="B53" s="45"/>
    </row>
    <row r="54" spans="2:8" ht="14.25" customHeight="1" x14ac:dyDescent="0.3">
      <c r="B54" s="45"/>
    </row>
    <row r="55" spans="2:8" ht="14.25" customHeight="1" x14ac:dyDescent="0.3">
      <c r="B55" s="45"/>
    </row>
    <row r="56" spans="2:8" ht="14.25" customHeight="1" x14ac:dyDescent="0.3">
      <c r="B56" s="45"/>
    </row>
    <row r="57" spans="2:8" ht="14.25" customHeight="1" x14ac:dyDescent="0.3">
      <c r="B57" s="45"/>
    </row>
    <row r="58" spans="2:8" ht="14.25" customHeight="1" x14ac:dyDescent="0.3">
      <c r="B58" s="45"/>
    </row>
    <row r="59" spans="2:8" ht="14.25" customHeight="1" x14ac:dyDescent="0.3">
      <c r="B59" s="45"/>
    </row>
    <row r="60" spans="2:8" ht="14.25" customHeight="1" x14ac:dyDescent="0.3">
      <c r="B60" s="45"/>
    </row>
    <row r="61" spans="2:8" ht="14.25" customHeight="1" x14ac:dyDescent="0.3">
      <c r="B61" s="45"/>
    </row>
    <row r="62" spans="2:8" ht="14.25" customHeight="1" x14ac:dyDescent="0.3">
      <c r="B62" s="45"/>
    </row>
    <row r="63" spans="2:8" ht="14.25" customHeight="1" x14ac:dyDescent="0.3">
      <c r="B63" s="45"/>
    </row>
    <row r="64" spans="2:8" ht="14.25" customHeight="1" x14ac:dyDescent="0.3">
      <c r="B64" s="45"/>
    </row>
    <row r="65" spans="2:2" ht="14.25" customHeight="1" x14ac:dyDescent="0.3">
      <c r="B65" s="45"/>
    </row>
    <row r="66" spans="2:2" ht="14.25" customHeight="1" x14ac:dyDescent="0.3">
      <c r="B66" s="45"/>
    </row>
    <row r="67" spans="2:2" ht="14.25" customHeight="1" x14ac:dyDescent="0.3">
      <c r="B67" s="45"/>
    </row>
    <row r="68" spans="2:2" ht="14.25" customHeight="1" x14ac:dyDescent="0.3">
      <c r="B68" s="45"/>
    </row>
    <row r="69" spans="2:2" ht="14.25" customHeight="1" x14ac:dyDescent="0.3">
      <c r="B69" s="45"/>
    </row>
    <row r="70" spans="2:2" ht="14.25" customHeight="1" x14ac:dyDescent="0.3">
      <c r="B70" s="45"/>
    </row>
    <row r="71" spans="2:2" ht="14.25" customHeight="1" x14ac:dyDescent="0.3">
      <c r="B71" s="45"/>
    </row>
    <row r="72" spans="2:2" ht="14.25" customHeight="1" x14ac:dyDescent="0.3">
      <c r="B72" s="45"/>
    </row>
    <row r="73" spans="2:2" ht="14.25" customHeight="1" x14ac:dyDescent="0.3">
      <c r="B73" s="45"/>
    </row>
    <row r="74" spans="2:2" ht="14.25" customHeight="1" x14ac:dyDescent="0.3">
      <c r="B74" s="45"/>
    </row>
    <row r="75" spans="2:2" ht="14.25" customHeight="1" x14ac:dyDescent="0.3">
      <c r="B75" s="45"/>
    </row>
    <row r="76" spans="2:2" ht="14.25" customHeight="1" x14ac:dyDescent="0.3">
      <c r="B76" s="45"/>
    </row>
    <row r="77" spans="2:2" ht="14.25" customHeight="1" x14ac:dyDescent="0.3">
      <c r="B77" s="45"/>
    </row>
    <row r="78" spans="2:2" ht="14.25" customHeight="1" x14ac:dyDescent="0.3">
      <c r="B78" s="45"/>
    </row>
    <row r="79" spans="2:2" ht="14.25" customHeight="1" x14ac:dyDescent="0.3">
      <c r="B79" s="45"/>
    </row>
    <row r="80" spans="2:2" ht="14.25" customHeight="1" x14ac:dyDescent="0.3">
      <c r="B80" s="45"/>
    </row>
    <row r="81" spans="2:2" ht="14.25" customHeight="1" x14ac:dyDescent="0.3">
      <c r="B81" s="45"/>
    </row>
    <row r="82" spans="2:2" ht="14.25" customHeight="1" x14ac:dyDescent="0.3">
      <c r="B82" s="45"/>
    </row>
    <row r="83" spans="2:2" ht="14.25" customHeight="1" x14ac:dyDescent="0.3">
      <c r="B83" s="45"/>
    </row>
    <row r="84" spans="2:2" ht="14.25" customHeight="1" x14ac:dyDescent="0.3">
      <c r="B84" s="45"/>
    </row>
    <row r="85" spans="2:2" ht="14.25" customHeight="1" x14ac:dyDescent="0.3">
      <c r="B85" s="45"/>
    </row>
    <row r="86" spans="2:2" ht="14.25" customHeight="1" x14ac:dyDescent="0.3">
      <c r="B86" s="45"/>
    </row>
    <row r="87" spans="2:2" ht="14.25" customHeight="1" x14ac:dyDescent="0.3">
      <c r="B87" s="45"/>
    </row>
    <row r="88" spans="2:2" ht="14.25" customHeight="1" x14ac:dyDescent="0.3">
      <c r="B88" s="45"/>
    </row>
    <row r="89" spans="2:2" ht="14.25" customHeight="1" x14ac:dyDescent="0.3">
      <c r="B89" s="45"/>
    </row>
    <row r="90" spans="2:2" ht="14.25" customHeight="1" x14ac:dyDescent="0.3">
      <c r="B90" s="45"/>
    </row>
    <row r="91" spans="2:2" ht="14.25" customHeight="1" x14ac:dyDescent="0.3">
      <c r="B91" s="45"/>
    </row>
    <row r="92" spans="2:2" ht="14.25" customHeight="1" x14ac:dyDescent="0.3">
      <c r="B92" s="45"/>
    </row>
    <row r="93" spans="2:2" ht="14.25" customHeight="1" x14ac:dyDescent="0.3">
      <c r="B93" s="45"/>
    </row>
    <row r="94" spans="2:2" ht="14.25" customHeight="1" x14ac:dyDescent="0.3">
      <c r="B94" s="45"/>
    </row>
    <row r="95" spans="2:2" ht="14.25" customHeight="1" x14ac:dyDescent="0.3">
      <c r="B95" s="45"/>
    </row>
    <row r="96" spans="2:2" ht="14.25" customHeight="1" x14ac:dyDescent="0.3">
      <c r="B96" s="45"/>
    </row>
    <row r="97" spans="2:2" ht="14.25" customHeight="1" x14ac:dyDescent="0.3">
      <c r="B97" s="45"/>
    </row>
    <row r="98" spans="2:2" ht="14.25" customHeight="1" x14ac:dyDescent="0.3">
      <c r="B98" s="45"/>
    </row>
    <row r="99" spans="2:2" ht="14.25" customHeight="1" x14ac:dyDescent="0.3">
      <c r="B99" s="45"/>
    </row>
    <row r="100" spans="2:2" ht="14.25" customHeight="1" x14ac:dyDescent="0.3">
      <c r="B100" s="45"/>
    </row>
    <row r="101" spans="2:2" ht="14.25" customHeight="1" x14ac:dyDescent="0.3">
      <c r="B101" s="45"/>
    </row>
    <row r="102" spans="2:2" ht="14.25" customHeight="1" x14ac:dyDescent="0.3">
      <c r="B102" s="45"/>
    </row>
    <row r="103" spans="2:2" ht="14.25" customHeight="1" x14ac:dyDescent="0.3">
      <c r="B103" s="45"/>
    </row>
    <row r="104" spans="2:2" ht="14.25" customHeight="1" x14ac:dyDescent="0.3">
      <c r="B104" s="45"/>
    </row>
  </sheetData>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8.44140625" hidden="1" customWidth="1"/>
    <col min="24" max="24" width="8" hidden="1" customWidth="1"/>
    <col min="25" max="26" width="7.44140625" hidden="1" customWidth="1"/>
    <col min="27" max="27" width="8" hidden="1" customWidth="1"/>
    <col min="28" max="61" width="8.6640625" customWidth="1"/>
  </cols>
  <sheetData>
    <row r="1" spans="1:61" ht="19.95" customHeight="1" x14ac:dyDescent="0.3">
      <c r="A1" s="448"/>
      <c r="B1" s="2413"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95" customHeight="1" x14ac:dyDescent="0.35">
      <c r="A2" s="485"/>
      <c r="B2" s="2413"/>
      <c r="C2" s="487"/>
      <c r="D2" s="1097">
        <f>'R-Resumo Bal. Massa'!B31*(1+'R&amp;C-Painel de Controle'!H62)</f>
        <v>0</v>
      </c>
      <c r="E2" s="1098" t="s">
        <v>21</v>
      </c>
      <c r="F2" s="1087"/>
      <c r="G2" s="1087"/>
      <c r="H2" s="1305">
        <f>D2*313</f>
        <v>0</v>
      </c>
      <c r="I2" s="1304" t="s">
        <v>298</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7" customHeight="1" x14ac:dyDescent="0.3">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7" customHeight="1" thickTop="1" thickBot="1" x14ac:dyDescent="0.4">
      <c r="A9" s="1077"/>
      <c r="B9" s="2407" t="s">
        <v>691</v>
      </c>
      <c r="C9" s="1099"/>
      <c r="D9" s="2410" t="s">
        <v>698</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5">
      <c r="A10" s="1077"/>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7" customHeight="1" thickBot="1" x14ac:dyDescent="0.4">
      <c r="A11" s="1077"/>
      <c r="B11" s="2409"/>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95" customHeight="1" thickTop="1" thickBot="1" x14ac:dyDescent="0.4">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3">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7" customHeight="1" x14ac:dyDescent="0.3">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3">
      <c r="A20" s="448"/>
      <c r="B20" s="1206" t="s">
        <v>427</v>
      </c>
      <c r="C20" s="928"/>
      <c r="D20" s="1207" t="s">
        <v>338</v>
      </c>
      <c r="E20" s="1208" t="str">
        <f>IF(E7="SIM",E19*1000000/$H$2,"-")</f>
        <v>-</v>
      </c>
      <c r="F20" s="1207" t="str">
        <f>IF(E7="SIM",E16/E19,"-")</f>
        <v>-</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3">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3">
      <c r="A22" s="448"/>
      <c r="B22" s="932"/>
      <c r="C22" s="928"/>
      <c r="D22" s="367"/>
      <c r="E22" s="365"/>
      <c r="F22" s="365"/>
      <c r="G22" s="928"/>
      <c r="H22" s="365">
        <f>(($D$2-H11)/(J11-H11))</f>
        <v>-2.3333333333333335</v>
      </c>
      <c r="I22" s="371"/>
      <c r="J22" s="365">
        <f>((J11-$D$2)/(J11-H11))</f>
        <v>3.3333333333333335</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3">
      <c r="A23" s="448"/>
      <c r="B23" s="931" t="s">
        <v>484</v>
      </c>
      <c r="C23" s="928"/>
      <c r="D23" s="372"/>
      <c r="E23" s="371" t="str">
        <f>IF(E7="SIM",(E15*F15+E16*F16)/4,"-")</f>
        <v>-</v>
      </c>
      <c r="F23" s="365"/>
      <c r="G23" s="928"/>
      <c r="H23" s="365">
        <f>(L15*(($D$2-H11)/(J11-H11))*$H$2/1000)*I21*$D$5*(1+'R&amp;C-Painel de Controle'!$D$54)*(1+'R&amp;C-Painel de Controle'!$D$61)</f>
        <v>0</v>
      </c>
      <c r="I23" s="371" t="str">
        <f>IF(I7="SIM",(I15*J15+I16*J16)/4,"-")</f>
        <v>-</v>
      </c>
      <c r="J23" s="365">
        <f>((L15*(($D$2-H11)/(J11-H11))*$H$2/1000)*(1-I21)*'R&amp;C-Painel de Controle'!$D$52*(1+'R&amp;C-Painel de Controle'!$D$54))/1000</f>
        <v>0</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95" customHeight="1" thickTop="1" thickBot="1" x14ac:dyDescent="0.35">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3">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7" customHeight="1" collapsed="1" x14ac:dyDescent="0.3">
      <c r="A27" s="453"/>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3">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3">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3">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7" customHeight="1" collapsed="1" x14ac:dyDescent="0.3">
      <c r="A32" s="453"/>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3">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7" customHeight="1" collapsed="1" x14ac:dyDescent="0.3">
      <c r="A35" s="453"/>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3">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7" customHeight="1" collapsed="1" x14ac:dyDescent="0.3">
      <c r="A38" s="453"/>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3">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3">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7" customHeight="1" x14ac:dyDescent="0.3">
      <c r="A41" s="453"/>
      <c r="B41" s="1111" t="s">
        <v>439</v>
      </c>
      <c r="C41" s="1058"/>
      <c r="D41" s="1217"/>
      <c r="E41" s="1091" t="str">
        <f>(IF(E$7="SIM",5+2.5+1*'R&amp;C-Painel de Controle'!$D$74,"-"))</f>
        <v>-</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95" customHeight="1" x14ac:dyDescent="0.35">
      <c r="A42" s="1300"/>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95" customHeight="1" x14ac:dyDescent="0.35">
      <c r="A43" s="1300"/>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3">
      <c r="A44" s="72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5">
      <c r="A45" s="72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V12" sqref="V12"/>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9.44140625" hidden="1" customWidth="1"/>
    <col min="24" max="27" width="8.6640625" hidden="1" customWidth="1"/>
  </cols>
  <sheetData>
    <row r="1" spans="1:61" ht="19.95" customHeight="1" x14ac:dyDescent="0.3">
      <c r="A1" s="939"/>
      <c r="B1" s="2413"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95" customHeight="1" x14ac:dyDescent="0.35">
      <c r="A2" s="940"/>
      <c r="B2" s="2413"/>
      <c r="C2" s="487"/>
      <c r="D2" s="1097">
        <f>'R-Resumo Bal. Massa'!B35*(1+'R&amp;C-Painel de Controle'!H68)</f>
        <v>109.22499999999999</v>
      </c>
      <c r="E2" s="1098" t="s">
        <v>440</v>
      </c>
      <c r="F2" s="1087"/>
      <c r="G2" s="1087"/>
      <c r="H2" s="1305">
        <f>D2*313</f>
        <v>34187.424999999996</v>
      </c>
      <c r="I2" s="1304" t="s">
        <v>441</v>
      </c>
      <c r="J2" s="1087"/>
      <c r="K2" s="108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198"/>
    </row>
    <row r="3" spans="1:61" ht="19.95" customHeight="1" x14ac:dyDescent="0.3">
      <c r="A3" s="939"/>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7" customHeight="1" x14ac:dyDescent="0.3">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95" customHeight="1" x14ac:dyDescent="0.3">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c r="W7" s="164"/>
      <c r="X7" s="164"/>
      <c r="Y7" s="164"/>
      <c r="Z7" s="164"/>
      <c r="AA7" s="164"/>
      <c r="AB7" s="198"/>
    </row>
    <row r="8" spans="1:61"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7" customHeight="1" thickTop="1" thickBot="1" x14ac:dyDescent="0.4">
      <c r="A9" s="1310"/>
      <c r="B9" s="2407" t="s">
        <v>691</v>
      </c>
      <c r="C9" s="1099"/>
      <c r="D9" s="2410" t="s">
        <v>699</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row>
    <row r="10" spans="1:61" ht="7.5" customHeight="1" x14ac:dyDescent="0.3">
      <c r="A10" s="93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7" customHeight="1" thickBot="1" x14ac:dyDescent="0.4">
      <c r="A11" s="1310"/>
      <c r="B11" s="2409"/>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2250</v>
      </c>
      <c r="W11" s="1079"/>
      <c r="X11" s="1079"/>
      <c r="Y11" s="1079"/>
      <c r="Z11" s="1079"/>
      <c r="AA11" s="1079"/>
    </row>
    <row r="12" spans="1:61" s="1087" customFormat="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95" customHeight="1" thickTop="1" thickBot="1" x14ac:dyDescent="0.4">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3">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7" customHeight="1" x14ac:dyDescent="0.3">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f>(IF(M$7="SIM",(((M22*L15*1000+(3731520/2)*((M22/5)/1.5))*M21*(1+'R&amp;C-Painel de Controle'!$D$61))+((M22*L15*1000+(3731520/2)*((M22/5)/1.5))*(1-M21)/$D$5*'R&amp;C-Painel de Controle'!$D$52*(1+'R&amp;C-Painel de Controle'!$D$54)))/1000000,"-"))</f>
        <v>6.3590934807999986</v>
      </c>
      <c r="N15" s="1115">
        <v>0.35</v>
      </c>
      <c r="O15" s="1058"/>
      <c r="P15" s="1275">
        <f>500*Q14</f>
        <v>300</v>
      </c>
      <c r="Q15" s="1035" t="str">
        <f>(IF(Q$7="SIM",(((Q22*P15*1000+(3731520/1)*((Q22/5)/1.5))*Q21*(1+'R&amp;C-Painel de Controle'!$D$61))+((Q22*P15*1000+(3731520/1)*((Q22/5)/1.5))*(1-Q21)/$D$5*'R&amp;C-Painel de Controle'!$D$52*(1+'R&amp;C-Painel de Controle'!$D$54)))/1000000,"-"))</f>
        <v>-</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7" customHeight="1" x14ac:dyDescent="0.3">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f>(IF(M$7="SIM",(((L17-N17)*'R&amp;C-Painel de Controle'!$D$57*0.1)+(N17*('R&amp;C-Painel de Controle'!$D$60*0.25))+(250*(1+'R&amp;C-Painel de Controle'!$D$61)*((500/2)*M22))+('R&amp;C-Painel de Controle'!$D$6*600*L16/100*(1+'R&amp;C-Painel de Controle'!$D$61)))/1000000,"-"))</f>
        <v>4.9984756459145716</v>
      </c>
      <c r="N16" s="1117">
        <v>0.05</v>
      </c>
      <c r="O16" s="1058"/>
      <c r="P16" s="1116">
        <v>0.5</v>
      </c>
      <c r="Q16" s="1035" t="str">
        <f>(IF(Q$7="SIM",(((P17-R17)*'R&amp;C-Painel de Controle'!$D$57*0.1)+(R17*('R&amp;C-Painel de Controle'!$D$60*0.25))+(250*(1+'R&amp;C-Painel de Controle'!$D$61)*((500/1)*Q22))+('R&amp;C-Painel de Controle'!$D$6*600*P16/100*(1+'R&amp;C-Painel de Controle'!$D$61)))/1000000,"-"))</f>
        <v>-</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7" customHeight="1" x14ac:dyDescent="0.3">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f>(IF(M$7="SIM",2*(20*(20+(SQRT(N17))+20))+2*(20*(N17/(SQRT(N17))))+N17,"-"))</f>
        <v>11256.872918291436</v>
      </c>
      <c r="M17" s="1035">
        <f>(IF(M$7="SIM",('R&amp;C-Painel de Controle'!$D$55+0.25)*L17/1000000,"-"))</f>
        <v>2.8142182295728588E-3</v>
      </c>
      <c r="N17" s="1119">
        <f>IF(M7="SIM",(500/2*M22)*(1+1/2+1/2),"-")</f>
        <v>4369</v>
      </c>
      <c r="O17" s="1058"/>
      <c r="P17" s="1118" t="str">
        <f>(IF(Q$7="SIM",2*(20*(20+(SQRT(R17))+20))+2*(20*(R17/(SQRT(R17))))+R17,"-"))</f>
        <v>-</v>
      </c>
      <c r="Q17" s="1035" t="str">
        <f>(IF(Q$7="SIM",('R&amp;C-Painel de Controle'!$D$55+0.25)*P17/1000000,"-"))</f>
        <v>-</v>
      </c>
      <c r="R17" s="1119" t="str">
        <f>IF(Q7="SIM",(500*Q22)*(1+1/2+1/2),"-")</f>
        <v>-</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7" customHeight="1" x14ac:dyDescent="0.3">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f>IF(M7="SIM",(M15+M16)*N18*1000/$H$2,"-")</f>
        <v>2.4916111245687347E-2</v>
      </c>
      <c r="M18" s="1035">
        <f>(IF(M$7="SIM",$H$2*L18/1000,""))</f>
        <v>0.85181768450359263</v>
      </c>
      <c r="N18" s="1115">
        <v>7.4999999999999997E-2</v>
      </c>
      <c r="O18" s="1058"/>
      <c r="P18" s="1276" t="str">
        <f>IF(Q7="SIM",(Q15+Q16)*R18*1000/$H$2,"-")</f>
        <v>-</v>
      </c>
      <c r="Q18" s="1035" t="str">
        <f>(IF(Q$7="SIM",$H$2*P18/1000,""))</f>
        <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95" customHeight="1" collapsed="1" thickBot="1" x14ac:dyDescent="0.4">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f>IF(M7="SIM",SUM(M15:M18)*(1+L19),"-")</f>
        <v>12.82281108092012</v>
      </c>
      <c r="N19" s="1303" t="s">
        <v>338</v>
      </c>
      <c r="O19" s="1102"/>
      <c r="P19" s="1250">
        <v>0.05</v>
      </c>
      <c r="Q19" s="1120" t="str">
        <f>IF(Q7="SIM",SUM(Q15:Q18)*(1+P19),"-")</f>
        <v>-</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3">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f>IF(M7="SIM",M19*1000000/$H$2,"-")</f>
        <v>375.0739074651022</v>
      </c>
      <c r="N20" s="1207" t="s">
        <v>338</v>
      </c>
      <c r="O20" s="928"/>
      <c r="P20" s="1207" t="s">
        <v>338</v>
      </c>
      <c r="Q20" s="1208" t="str">
        <f>IF(Q7="SIM",Q19*1000000/$H$2,"-")</f>
        <v>-</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3">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3">
      <c r="A22" s="939"/>
      <c r="B22" s="932" t="s">
        <v>700</v>
      </c>
      <c r="C22" s="928"/>
      <c r="D22" s="367"/>
      <c r="E22" s="365" t="str">
        <f>IF(E7="SIM",($D$2/(2))*4,"-")</f>
        <v>-</v>
      </c>
      <c r="F22" s="365"/>
      <c r="G22" s="928"/>
      <c r="H22" s="365"/>
      <c r="I22" s="371" t="str">
        <f>IF(I7="SIM",($D$2/10)*10,"-")</f>
        <v>-</v>
      </c>
      <c r="J22" s="365"/>
      <c r="K22" s="928"/>
      <c r="L22" s="365"/>
      <c r="M22" s="365">
        <f>IF(M7="SIM",($D$2/(125/2))*5,"-")</f>
        <v>8.7379999999999995</v>
      </c>
      <c r="N22" s="365"/>
      <c r="O22" s="928"/>
      <c r="P22" s="365"/>
      <c r="Q22" s="365" t="str">
        <f>IF(Q7="SIM",($D$2/125)*5,"-")</f>
        <v>-</v>
      </c>
      <c r="R22" s="365"/>
      <c r="S22" s="928"/>
      <c r="T22" s="365"/>
      <c r="U22" s="365" t="str">
        <f>IF(U7="SIM",($D$2/125)*5,"-")</f>
        <v>-</v>
      </c>
      <c r="V22" s="365"/>
      <c r="W22" s="164"/>
      <c r="X22" s="164"/>
      <c r="Y22" s="164"/>
      <c r="Z22" s="164"/>
      <c r="AA22" s="164"/>
      <c r="AB22" s="198"/>
    </row>
    <row r="23" spans="1:28" ht="18" hidden="1" customHeight="1" outlineLevel="1" x14ac:dyDescent="0.3">
      <c r="A23" s="939"/>
      <c r="B23" s="931" t="s">
        <v>484</v>
      </c>
      <c r="C23" s="928"/>
      <c r="D23" s="372"/>
      <c r="E23" s="371" t="str">
        <f>IF(E7="SIM",(E15*F15+E16*F16)/4,"-")</f>
        <v>-</v>
      </c>
      <c r="F23" s="365"/>
      <c r="G23" s="928"/>
      <c r="H23" s="365"/>
      <c r="I23" s="371" t="str">
        <f>IF(I7="SIM",(I15*J15+I16*J16)/4,"-")</f>
        <v>-</v>
      </c>
      <c r="J23" s="365"/>
      <c r="K23" s="928"/>
      <c r="L23" s="365"/>
      <c r="M23" s="371">
        <f>IF(M7="SIM",(M15*N15+M16*N16)/4,"-")</f>
        <v>0.61890162514393199</v>
      </c>
      <c r="N23" s="365"/>
      <c r="O23" s="928"/>
      <c r="P23" s="365"/>
      <c r="Q23" s="371" t="str">
        <f>IF(Q7="SIM",(Q15*R15+Q16*R16)/4,"-")</f>
        <v>-</v>
      </c>
      <c r="R23" s="365"/>
      <c r="S23" s="928"/>
      <c r="T23" s="365"/>
      <c r="U23" s="371" t="str">
        <f>IF(U7="SIM",(U15*V15+U16*V16)/4,"-")</f>
        <v>-</v>
      </c>
      <c r="V23" s="365"/>
      <c r="W23" s="164"/>
      <c r="X23" s="164"/>
      <c r="Y23" s="164"/>
      <c r="Z23" s="164"/>
      <c r="AA23" s="164"/>
      <c r="AB23" s="198"/>
    </row>
    <row r="24" spans="1:28" s="1087" customFormat="1" ht="15" customHeight="1" thickTop="1" thickBot="1" x14ac:dyDescent="0.35">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95" customHeight="1" thickTop="1" thickBot="1" x14ac:dyDescent="0.4">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3">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7" customHeight="1" collapsed="1" x14ac:dyDescent="0.3">
      <c r="A27" s="942"/>
      <c r="B27" s="1111" t="s">
        <v>430</v>
      </c>
      <c r="C27" s="1058"/>
      <c r="D27" s="1217"/>
      <c r="E27" s="1088" t="str">
        <f>(IF(E$7="SIM",(E31)*2.4*12/$H$2,"-"))</f>
        <v>-</v>
      </c>
      <c r="F27" s="1115"/>
      <c r="G27" s="1191"/>
      <c r="H27" s="1232"/>
      <c r="I27" s="1088" t="str">
        <f>(IF(I$7="SIM",(I31)*2.4*12/$H$2,"-"))</f>
        <v>-</v>
      </c>
      <c r="J27" s="1233"/>
      <c r="K27" s="1191"/>
      <c r="L27" s="1232"/>
      <c r="M27" s="1088">
        <f>(IF(M$7="SIM",(M31)*2.4*12/$H$2,"-"))</f>
        <v>17.10206931349758</v>
      </c>
      <c r="N27" s="1233"/>
      <c r="O27" s="1191"/>
      <c r="P27" s="1232"/>
      <c r="Q27" s="1088" t="str">
        <f>(IF(Q$7="SIM",(Q31)*2.4*12/$H$2,"-"))</f>
        <v>-</v>
      </c>
      <c r="R27" s="1233"/>
      <c r="S27" s="1191"/>
      <c r="T27" s="1232"/>
      <c r="U27" s="1089" t="str">
        <f>(IF(U$7="SIM",(U31)*2.4*12/$H$2,"-"))</f>
        <v>-</v>
      </c>
      <c r="V27" s="1239"/>
      <c r="W27" s="165"/>
      <c r="X27" s="165"/>
      <c r="Y27" s="165"/>
      <c r="Z27" s="165"/>
      <c r="AA27" s="165"/>
      <c r="AB27" s="198"/>
    </row>
    <row r="28" spans="1:28" ht="18" hidden="1" customHeight="1" outlineLevel="1" x14ac:dyDescent="0.3">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3">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3">
      <c r="A30" s="939"/>
      <c r="B30" s="1211" t="s">
        <v>693</v>
      </c>
      <c r="C30" s="1101"/>
      <c r="D30" s="1215"/>
      <c r="E30" s="372" t="str">
        <f>IF(E7="SIM",($D$2/2)*4,"-")</f>
        <v>-</v>
      </c>
      <c r="F30" s="1216"/>
      <c r="G30" s="1197"/>
      <c r="H30" s="1231"/>
      <c r="I30" s="372" t="str">
        <f>IF(I7="SIM",($D$2/10)*5,"-")</f>
        <v>-</v>
      </c>
      <c r="J30" s="1235"/>
      <c r="K30" s="1197"/>
      <c r="L30" s="1237"/>
      <c r="M30" s="372">
        <f>IF(M7="SIM",(M22/5)*3,"-")</f>
        <v>5.242799999999999</v>
      </c>
      <c r="N30" s="1235"/>
      <c r="O30" s="1197"/>
      <c r="P30" s="1237"/>
      <c r="Q30" s="372" t="str">
        <f>IF(Q7="SIM",(Q22/5)*3,"-")</f>
        <v>-</v>
      </c>
      <c r="R30" s="1235"/>
      <c r="S30" s="1197"/>
      <c r="T30" s="1237"/>
      <c r="U30" s="372" t="str">
        <f>IF(U7="SIM",(U22/5)*3,"-")</f>
        <v>-</v>
      </c>
      <c r="V30" s="1122"/>
      <c r="W30" s="164"/>
      <c r="X30" s="164"/>
      <c r="Y30" s="164"/>
      <c r="Z30" s="164"/>
      <c r="AA30" s="164"/>
      <c r="AB30" s="198"/>
    </row>
    <row r="31" spans="1:28" ht="18" hidden="1" customHeight="1" outlineLevel="1" x14ac:dyDescent="0.3">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f>IF(M7="SIM",0.6*'R&amp;C-Painel de Controle'!$D$63*0.25+0.6*M29*M30/10*'R&amp;C-Painel de Controle'!$D$64*0.25+M30*M29*'R&amp;C-Painel de Controle'!$D$65,"-")</f>
        <v>20301.239999999998</v>
      </c>
      <c r="N31" s="1223"/>
      <c r="O31" s="1195"/>
      <c r="P31" s="1236"/>
      <c r="Q31" s="369" t="str">
        <f>IF(Q7="SIM",0.6*'R&amp;C-Painel de Controle'!$D$63*0.25+0.6*Q29*Q30/10*'R&amp;C-Painel de Controle'!$D$64*0.25+Q30*Q29*'R&amp;C-Painel de Controle'!$D$65,"-")</f>
        <v>-</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7" customHeight="1" collapsed="1" x14ac:dyDescent="0.3">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f>(IF(M$7="SIM",(M33*$H$2/1000*'R&amp;C-Painel de Controle'!$D$68+M34/1000*'R&amp;C-Painel de Controle'!$D$69*12)/$H$2,"-"))</f>
        <v>0</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3">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3">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582.1875</v>
      </c>
      <c r="V34" s="1122"/>
      <c r="W34" s="164"/>
      <c r="X34" s="164"/>
      <c r="Y34" s="164"/>
      <c r="Z34" s="164"/>
      <c r="AA34" s="164"/>
      <c r="AB34" s="198"/>
    </row>
    <row r="35" spans="1:28" ht="17.7" customHeight="1" collapsed="1" x14ac:dyDescent="0.3">
      <c r="A35" s="942"/>
      <c r="B35" s="1111" t="s">
        <v>432</v>
      </c>
      <c r="C35" s="1058"/>
      <c r="D35" s="1217"/>
      <c r="E35" s="1088" t="str">
        <f>(IF(E$7="SIM",(E15*1000000*E36+E37*12)/$H$2,"-"))</f>
        <v>-</v>
      </c>
      <c r="F35" s="1221"/>
      <c r="G35" s="1199"/>
      <c r="H35" s="1280"/>
      <c r="I35" s="1088" t="str">
        <f>(IF(I$7="SIM",(I15*1000000*I36+I37*12)/$H$2,"-"))</f>
        <v>-</v>
      </c>
      <c r="J35" s="1221"/>
      <c r="K35" s="1199"/>
      <c r="L35" s="1280"/>
      <c r="M35" s="1088">
        <f>(IF(M$7="SIM",(M15*1000000*M36+M37*12)/$H$2,"-"))</f>
        <v>8.1602325129780908</v>
      </c>
      <c r="N35" s="1221"/>
      <c r="O35" s="1199"/>
      <c r="P35" s="1280"/>
      <c r="Q35" s="1088" t="str">
        <f>(IF(Q$7="SIM",(Q15*1000000*Q36+Q37*12)/$H$2,"-"))</f>
        <v>-</v>
      </c>
      <c r="R35" s="1221"/>
      <c r="S35" s="1199"/>
      <c r="T35" s="1280"/>
      <c r="U35" s="1089" t="str">
        <f>(IF(U$7="SIM",(U15*1000000*U36+U37*12)/$H$2,"-"))</f>
        <v>-</v>
      </c>
      <c r="V35" s="1239"/>
      <c r="W35" s="165"/>
      <c r="X35" s="165"/>
      <c r="Y35" s="165"/>
      <c r="Z35" s="165"/>
      <c r="AA35" s="165"/>
      <c r="AB35" s="198"/>
    </row>
    <row r="36" spans="1:28" ht="18" hidden="1" customHeight="1" outlineLevel="1" x14ac:dyDescent="0.3">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3">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7" customHeight="1" collapsed="1" x14ac:dyDescent="0.3">
      <c r="A38" s="942"/>
      <c r="B38" s="1111" t="s">
        <v>689</v>
      </c>
      <c r="C38" s="1058"/>
      <c r="D38" s="1274">
        <v>0.25</v>
      </c>
      <c r="E38" s="1088" t="str">
        <f>(IF(E$7="SIM",D38*E39*E40*12/$H$2,"-"))</f>
        <v>-</v>
      </c>
      <c r="F38" s="1221"/>
      <c r="G38" s="1199"/>
      <c r="H38" s="1274">
        <v>0.25</v>
      </c>
      <c r="I38" s="1088" t="str">
        <f>(IF(I$7="SIM",H38*I39*I40*12/$H$2,"-"))</f>
        <v>-</v>
      </c>
      <c r="J38" s="1221"/>
      <c r="K38" s="1199"/>
      <c r="L38" s="1274">
        <v>0.25</v>
      </c>
      <c r="M38" s="1088">
        <f>(IF(M$7="SIM",L38*M39*M40*12/$H$2,"-"))</f>
        <v>1.7550312724634864</v>
      </c>
      <c r="N38" s="1221"/>
      <c r="O38" s="1199"/>
      <c r="P38" s="1274">
        <v>0.25</v>
      </c>
      <c r="Q38" s="1088" t="str">
        <f>(IF(Q$7="SIM",P38*Q39*Q40*12/$H$2,"-"))</f>
        <v>-</v>
      </c>
      <c r="R38" s="1221"/>
      <c r="S38" s="1199"/>
      <c r="T38" s="1274">
        <v>0.25</v>
      </c>
      <c r="U38" s="1089" t="str">
        <f>(IF(U$7="SIM",T38*U39*U40*12/$H$2,"-"))</f>
        <v>-</v>
      </c>
      <c r="V38" s="1239"/>
      <c r="W38" s="165"/>
      <c r="X38" s="165"/>
      <c r="Y38" s="165"/>
      <c r="Z38" s="165"/>
      <c r="AA38" s="165"/>
      <c r="AB38" s="198"/>
    </row>
    <row r="39" spans="1:28" ht="18" hidden="1" customHeight="1" outlineLevel="1" x14ac:dyDescent="0.3">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3">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7" customHeight="1" x14ac:dyDescent="0.3">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f>(IF(M$7="SIM",10+0.25*'R&amp;C-Painel de Controle'!$D$74+0.025*'R&amp;C-Painel de Controle'!$D$73,"-"))</f>
        <v>12.074999999999999</v>
      </c>
      <c r="N41" s="1221"/>
      <c r="O41" s="1199"/>
      <c r="P41" s="1280"/>
      <c r="Q41" s="1091" t="str">
        <f>(IF(Q$7="SIM",10+0.25*'R&amp;C-Painel de Controle'!$D$74+0.025*'R&amp;C-Painel de Controle'!$D$73,"-"))</f>
        <v>-</v>
      </c>
      <c r="R41" s="1221"/>
      <c r="S41" s="1199"/>
      <c r="T41" s="1280"/>
      <c r="U41" s="1092" t="str">
        <f>(IF(U$7="SIM",10+0.25*'R&amp;C-Painel de Controle'!$D$74+0.025*'R&amp;C-Painel de Controle'!$D$73,"-"))</f>
        <v>-</v>
      </c>
      <c r="V41" s="1239"/>
      <c r="W41" s="165"/>
      <c r="X41" s="165"/>
      <c r="Y41" s="165"/>
      <c r="Z41" s="165"/>
      <c r="AA41" s="165"/>
      <c r="AB41" s="198"/>
    </row>
    <row r="42" spans="1:28" s="1076" customFormat="1" ht="19.95" customHeight="1" x14ac:dyDescent="0.35">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f>(IF(M$7="SIM",(M27+M32+M35+M38+M41)*(1+L42),"-"))</f>
        <v>41.046949753886118</v>
      </c>
      <c r="N42" s="1224"/>
      <c r="O42" s="1201"/>
      <c r="P42" s="1274">
        <v>0.05</v>
      </c>
      <c r="Q42" s="1081" t="str">
        <f>(IF(Q$7="SIM",(Q27+Q32+Q35+Q38+Q41)*(1+P42),"-"))</f>
        <v>-</v>
      </c>
      <c r="R42" s="1224"/>
      <c r="S42" s="1201"/>
      <c r="T42" s="1274">
        <v>0.05</v>
      </c>
      <c r="U42" s="1082" t="str">
        <f>(IF(U$7="SIM",(U27+U32+U35+U38+U41)*(1+T42),"-"))</f>
        <v>-</v>
      </c>
      <c r="V42" s="1240"/>
      <c r="W42" s="1075"/>
      <c r="X42" s="1075"/>
      <c r="Y42" s="1075"/>
      <c r="Z42" s="1075"/>
      <c r="AA42" s="1075"/>
    </row>
    <row r="43" spans="1:28" s="1076" customFormat="1" ht="19.95" customHeight="1" x14ac:dyDescent="0.35">
      <c r="A43" s="1308"/>
      <c r="B43" s="1212" t="s">
        <v>436</v>
      </c>
      <c r="C43" s="1102"/>
      <c r="D43" s="1225"/>
      <c r="E43" s="1080" t="str">
        <f>(IF(E$7="SIM",E42*$H$2/1000000,"-"))</f>
        <v>-</v>
      </c>
      <c r="F43" s="1226"/>
      <c r="G43" s="1102"/>
      <c r="H43" s="1225"/>
      <c r="I43" s="1080" t="str">
        <f>(IF(I$7="SIM",I42*$H$2/1000000,"-"))</f>
        <v>-</v>
      </c>
      <c r="J43" s="1226"/>
      <c r="K43" s="1102"/>
      <c r="L43" s="1225"/>
      <c r="M43" s="1080">
        <f>(IF(M$7="SIM",M42*$H$2/1000000,"-"))</f>
        <v>1.4032895161897498</v>
      </c>
      <c r="N43" s="1226"/>
      <c r="O43" s="1102"/>
      <c r="P43" s="1283"/>
      <c r="Q43" s="1080" t="str">
        <f>(IF(Q$7="SIM",Q42*$H$2/1000000,"-"))</f>
        <v>-</v>
      </c>
      <c r="R43" s="1226"/>
      <c r="S43" s="1102"/>
      <c r="T43" s="1225"/>
      <c r="U43" s="1040" t="str">
        <f>(IF(U$7="SIM",U42*$H$2/1000000,"-"))</f>
        <v>-</v>
      </c>
      <c r="V43" s="1226"/>
      <c r="W43" s="1075"/>
      <c r="X43" s="1075"/>
      <c r="Y43" s="1075"/>
      <c r="Z43" s="1075"/>
      <c r="AA43" s="1075"/>
    </row>
    <row r="44" spans="1:28" s="862" customFormat="1" ht="18" customHeight="1" x14ac:dyDescent="0.3">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f>(IF(M$7="SIM",(((M27*$H$2/12)+(M34/1000*'R&amp;C-Painel de Controle'!$D$69*12)+(M37*12)+(M39*M40*12))/1000000),"-"))</f>
        <v>0.40872297600000002</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5">
      <c r="A45" s="1309"/>
      <c r="B45" s="1214" t="s">
        <v>438</v>
      </c>
      <c r="C45" s="1058"/>
      <c r="D45" s="1228"/>
      <c r="E45" s="1229" t="str">
        <f>(IF(E$7="SIM",((E43-E44)*1000000)/$H$2,"-"))</f>
        <v>-</v>
      </c>
      <c r="F45" s="1230"/>
      <c r="G45" s="1058"/>
      <c r="H45" s="1228"/>
      <c r="I45" s="1229" t="str">
        <f>(IF(I$7="SIM",((I43-I44)*1000000)/$H$2,"-"))</f>
        <v>-</v>
      </c>
      <c r="J45" s="1230"/>
      <c r="K45" s="1058"/>
      <c r="L45" s="1228"/>
      <c r="M45" s="1229">
        <f>(IF(M$7="SIM",((M43-M44)*1000000)/$H$2,"-"))</f>
        <v>29.091589676313735</v>
      </c>
      <c r="N45" s="1230"/>
      <c r="O45" s="1058"/>
      <c r="P45" s="1228"/>
      <c r="Q45" s="1229" t="str">
        <f>(IF(Q$7="SIM",((Q43-Q44)*1000000)/$H$2,"-"))</f>
        <v>-</v>
      </c>
      <c r="R45" s="1230"/>
      <c r="S45" s="1058"/>
      <c r="T45" s="1228"/>
      <c r="U45" s="1241" t="str">
        <f>(IF(U$7="SIM",((U43-U44)*1000000)/$H$2,"-"))</f>
        <v>-</v>
      </c>
      <c r="V45" s="1230"/>
      <c r="W45" s="41"/>
      <c r="X45" s="41"/>
      <c r="Y45" s="41"/>
      <c r="Z45" s="41"/>
      <c r="AA45" s="41"/>
    </row>
    <row r="46" spans="1:28"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6.44140625" hidden="1" customWidth="1"/>
    <col min="25" max="27" width="7.44140625" hidden="1" customWidth="1"/>
    <col min="28" max="28" width="8.6640625" customWidth="1"/>
  </cols>
  <sheetData>
    <row r="1" spans="1:28" ht="19.95" customHeight="1" x14ac:dyDescent="0.3">
      <c r="A1" s="448"/>
      <c r="B1" s="2413"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95" customHeight="1" x14ac:dyDescent="0.35">
      <c r="A2" s="485"/>
      <c r="B2" s="2413"/>
      <c r="C2" s="487"/>
      <c r="D2" s="1097">
        <f>'R-Resumo Bal. Massa'!B34*(1+'R&amp;C-Painel de Controle'!H65)</f>
        <v>0</v>
      </c>
      <c r="E2" s="1098" t="s">
        <v>21</v>
      </c>
      <c r="F2" s="1087"/>
      <c r="G2" s="1087"/>
      <c r="H2" s="1305">
        <f>D2*313</f>
        <v>0</v>
      </c>
      <c r="I2" s="1304" t="s">
        <v>298</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341"/>
    </row>
    <row r="3" spans="1:28"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7" customHeight="1" x14ac:dyDescent="0.3">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7" customHeight="1" thickTop="1" thickBot="1" x14ac:dyDescent="0.4">
      <c r="A9" s="1077"/>
      <c r="B9" s="2407" t="s">
        <v>691</v>
      </c>
      <c r="C9" s="1099"/>
      <c r="D9" s="2410" t="s">
        <v>702</v>
      </c>
      <c r="E9" s="2411"/>
      <c r="F9" s="2411"/>
      <c r="G9" s="2411"/>
      <c r="H9" s="2411"/>
      <c r="I9" s="2411"/>
      <c r="J9" s="2411"/>
      <c r="K9" s="2411"/>
      <c r="L9" s="2411"/>
      <c r="M9" s="2411"/>
      <c r="N9" s="2411"/>
      <c r="O9" s="2411"/>
      <c r="P9" s="2411"/>
      <c r="Q9" s="2411"/>
      <c r="R9" s="2411"/>
      <c r="S9" s="2411"/>
      <c r="T9" s="2411"/>
      <c r="U9" s="2411"/>
      <c r="V9" s="2412"/>
      <c r="W9" s="1299"/>
      <c r="X9" s="1299"/>
      <c r="Y9" s="1299"/>
      <c r="Z9" s="1299"/>
      <c r="AA9" s="1313"/>
      <c r="AB9" s="1079"/>
    </row>
    <row r="10" spans="1:28" ht="7.5" customHeight="1" x14ac:dyDescent="0.3">
      <c r="A10" s="448"/>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7" customHeight="1" thickBot="1" x14ac:dyDescent="0.4">
      <c r="A11" s="1077"/>
      <c r="B11" s="2409"/>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95" customHeight="1" thickTop="1" thickBot="1" x14ac:dyDescent="0.4">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3">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7" customHeight="1" x14ac:dyDescent="0.3">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7" customHeight="1" x14ac:dyDescent="0.3">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7" customHeight="1" x14ac:dyDescent="0.3">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95" customHeight="1" collapsed="1" thickBot="1" x14ac:dyDescent="0.4">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3">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3">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3">
      <c r="A22" s="448"/>
      <c r="B22" s="945" t="s">
        <v>703</v>
      </c>
      <c r="C22" s="933"/>
      <c r="D22" s="387">
        <f>$H$2/4250</f>
        <v>0</v>
      </c>
      <c r="E22" s="338">
        <f>((($H$2/0.57)/52)*(E23))/(3.5*E24)</f>
        <v>0</v>
      </c>
      <c r="F22" s="378"/>
      <c r="G22" s="933"/>
      <c r="H22" s="387">
        <f>$H$2/4250</f>
        <v>0</v>
      </c>
      <c r="I22" s="338">
        <f>((($H$2/0.57)/52)*(I23))/(3.5*I24)</f>
        <v>0</v>
      </c>
      <c r="J22" s="378"/>
      <c r="K22" s="933"/>
      <c r="L22" s="387">
        <f>$H$2/4250</f>
        <v>0</v>
      </c>
      <c r="M22" s="338">
        <f>((($H$2/0.57)/52)*(M23))/(3.5*M24)</f>
        <v>0</v>
      </c>
      <c r="N22" s="378"/>
      <c r="O22" s="933"/>
      <c r="P22" s="387">
        <f>$H$2/4250</f>
        <v>0</v>
      </c>
      <c r="Q22" s="338">
        <f>((($H$2/0.57)/52)*(Q23))/(3.5*Q24)</f>
        <v>0</v>
      </c>
      <c r="R22" s="378"/>
      <c r="S22" s="933"/>
      <c r="T22" s="387">
        <f>$H$2/4250</f>
        <v>0</v>
      </c>
      <c r="U22" s="338">
        <f>((($H$2/0.57)/52)*(U23))/(3.5*U24)</f>
        <v>0</v>
      </c>
      <c r="V22" s="378"/>
      <c r="W22" s="164"/>
      <c r="X22" s="164"/>
      <c r="Y22" s="164"/>
      <c r="Z22" s="182"/>
      <c r="AA22" s="182"/>
      <c r="AB22" s="164"/>
    </row>
    <row r="23" spans="1:28" ht="18" hidden="1" customHeight="1" outlineLevel="1" x14ac:dyDescent="0.3">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3">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3">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3">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5">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95" customHeight="1" thickTop="1" thickBot="1" x14ac:dyDescent="0.4">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3">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7" customHeight="1" collapsed="1" x14ac:dyDescent="0.3">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3">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3">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3">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3">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7" customHeight="1" collapsed="1" x14ac:dyDescent="0.3">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3">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3">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7" customHeight="1" collapsed="1" x14ac:dyDescent="0.3">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3">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3">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7" customHeight="1" collapsed="1" x14ac:dyDescent="0.3">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3">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3">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7" customHeight="1" x14ac:dyDescent="0.3">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95" customHeight="1" x14ac:dyDescent="0.35">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95" customHeight="1" x14ac:dyDescent="0.35">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7" customHeight="1" x14ac:dyDescent="0.3">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7" customHeight="1" thickBot="1" x14ac:dyDescent="0.35">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3">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3">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3">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3">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3">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3">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3">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6.44140625" hidden="1" customWidth="1"/>
    <col min="28" max="61" width="8.6640625" customWidth="1"/>
  </cols>
  <sheetData>
    <row r="1" spans="1:61" s="198" customFormat="1" ht="19.95" customHeight="1" x14ac:dyDescent="0.3">
      <c r="A1" s="484"/>
      <c r="B1" s="2413"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95" customHeight="1" x14ac:dyDescent="0.35">
      <c r="A2" s="946"/>
      <c r="B2" s="2413"/>
      <c r="C2" s="487"/>
      <c r="D2" s="1097">
        <f>'R-Resumo Bal. Massa'!B39*(1+'R&amp;C-Painel de Controle'!H71)</f>
        <v>0</v>
      </c>
      <c r="E2" s="1098" t="s">
        <v>21</v>
      </c>
      <c r="F2" s="1307"/>
      <c r="G2" s="1307"/>
      <c r="H2" s="1305">
        <f>D2*313</f>
        <v>0</v>
      </c>
      <c r="I2" s="1304" t="s">
        <v>298</v>
      </c>
      <c r="J2" s="1307"/>
      <c r="K2" s="130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95" customHeight="1" x14ac:dyDescent="0.3">
      <c r="A3" s="484"/>
      <c r="B3" s="2413"/>
      <c r="C3" s="478"/>
      <c r="D3" s="477"/>
      <c r="E3" s="477"/>
      <c r="F3" s="477"/>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3">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7" customHeight="1" x14ac:dyDescent="0.3">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3">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95" customHeight="1" x14ac:dyDescent="0.3">
      <c r="A7" s="484"/>
      <c r="B7" s="1054" t="s">
        <v>935</v>
      </c>
      <c r="C7" s="1038"/>
      <c r="D7" s="1596" t="e">
        <f>(2.6*('R-Definição'!O111/'R-Definição'!E112))/(0.97*'R-Definição'!E114)</f>
        <v>#DIV/0!</v>
      </c>
      <c r="E7" s="1254" t="str">
        <f>IF(AND(L2="Sim",$D$2&gt;D11,$D$2&lt;=F11),"SIM","NÃO")</f>
        <v>NÃO</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5">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7" customHeight="1" thickTop="1" thickBot="1" x14ac:dyDescent="0.4">
      <c r="A9" s="1324"/>
      <c r="B9" s="2407" t="s">
        <v>691</v>
      </c>
      <c r="C9" s="1099"/>
      <c r="D9" s="2410" t="s">
        <v>448</v>
      </c>
      <c r="E9" s="2411"/>
      <c r="F9" s="2411"/>
      <c r="G9" s="2411"/>
      <c r="H9" s="2411"/>
      <c r="I9" s="2411"/>
      <c r="J9" s="2411"/>
      <c r="K9" s="2411"/>
      <c r="L9" s="2411"/>
      <c r="M9" s="2411"/>
      <c r="N9" s="2411"/>
      <c r="O9" s="2411"/>
      <c r="P9" s="2411"/>
      <c r="Q9" s="2411"/>
      <c r="R9" s="2411"/>
      <c r="S9" s="2411"/>
      <c r="T9" s="2411"/>
      <c r="U9" s="2411"/>
      <c r="V9" s="2412"/>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5">
      <c r="A10" s="1324"/>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7" customHeight="1" thickBot="1" x14ac:dyDescent="0.4">
      <c r="A11" s="1324"/>
      <c r="B11" s="2409"/>
      <c r="C11" s="1099"/>
      <c r="D11" s="1264">
        <v>350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5">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95" customHeight="1" thickTop="1" thickBot="1" x14ac:dyDescent="0.4">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3">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7" customHeight="1" x14ac:dyDescent="0.3">
      <c r="A15" s="484"/>
      <c r="B15" s="1111" t="s">
        <v>425</v>
      </c>
      <c r="C15" s="1058"/>
      <c r="D15" s="1275">
        <f>(IF('R&amp;C-Painel de Controle'!$C$58="Tecnologia Chinesa",572.251338598527*D22, 572.251338598527))*F7</f>
        <v>414.88222048393209</v>
      </c>
      <c r="E15" s="1035"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115">
        <v>0.15</v>
      </c>
      <c r="G15" s="1058"/>
      <c r="H15" s="1275">
        <f>(IF('R&amp;C-Painel de Controle'!$C$58="Tecnologia Chinesa",525.884311407721*H$22, 525.884311407721))*F7</f>
        <v>381.26612577059774</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f>
        <v>345.18388161848117</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f>
        <v>321.12701550499042</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f>
        <v>308.87701741503696</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7" customHeight="1" x14ac:dyDescent="0.3">
      <c r="A16" s="484"/>
      <c r="B16" s="1111" t="s">
        <v>692</v>
      </c>
      <c r="C16" s="1058"/>
      <c r="D16" s="1116">
        <f>(IF('R&amp;C-Painel de Controle'!$C$58="Tecnologia Chinesa",245.250573685083*D22*(1-E24), 245.250573685083*(1-E24)))*F7</f>
        <v>133.35499944126386</v>
      </c>
      <c r="E16" s="1035"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7" customHeight="1" x14ac:dyDescent="0.3">
      <c r="A17" s="484"/>
      <c r="B17" s="1111" t="s">
        <v>845</v>
      </c>
      <c r="C17" s="1058"/>
      <c r="D17" s="1118">
        <f>4*F17</f>
        <v>96000</v>
      </c>
      <c r="E17" s="1035" t="str">
        <f>(IF(E$7="SIM",('R&amp;C-Painel de Controle'!$D$55+0.25)*D17/1000000,"-"))</f>
        <v>-</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7" customHeight="1" x14ac:dyDescent="0.3">
      <c r="A18" s="484"/>
      <c r="B18" s="1111" t="s">
        <v>487</v>
      </c>
      <c r="C18" s="1058"/>
      <c r="D18" s="1276" t="str">
        <f>IF(E7="SIM",(E15+E16)*F18*1000/$H$2,"-")</f>
        <v>-</v>
      </c>
      <c r="E18" s="1035" t="str">
        <f>(IF(E$7="SIM",$H$2*D18/1000,""))</f>
        <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95" hidden="1" customHeight="1" outlineLevel="1" thickTop="1" x14ac:dyDescent="0.3">
      <c r="A20" s="484"/>
      <c r="B20" s="937" t="s">
        <v>427</v>
      </c>
      <c r="C20" s="933"/>
      <c r="D20" s="340" t="s">
        <v>338</v>
      </c>
      <c r="E20" s="338" t="str">
        <f>IF(E7="SIM",E19*1000000/$H$2,"-")</f>
        <v>-</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95" hidden="1" customHeight="1" outlineLevel="1" x14ac:dyDescent="0.3">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95" hidden="1" customHeight="1" outlineLevel="1" x14ac:dyDescent="0.3">
      <c r="A22" s="484"/>
      <c r="B22" s="937" t="s">
        <v>705</v>
      </c>
      <c r="C22" s="933"/>
      <c r="D22" s="380">
        <v>0.37</v>
      </c>
      <c r="E22" s="384" t="str">
        <f>IF(E7="SIM",$D$2*313/(8000*E23),"-")</f>
        <v>-</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95" hidden="1" customHeight="1" outlineLevel="1" x14ac:dyDescent="0.3">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95" hidden="1" customHeight="1" outlineLevel="1" x14ac:dyDescent="0.3">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95" hidden="1" customHeight="1" outlineLevel="1" x14ac:dyDescent="0.3">
      <c r="A25" s="484"/>
      <c r="B25" s="937" t="s">
        <v>484</v>
      </c>
      <c r="C25" s="935"/>
      <c r="D25" s="380"/>
      <c r="E25" s="382" t="str">
        <f>IF(E7="SIM",'R&amp;C-Painel de Controle'!$D$58*(E15*F15+E16*F16)/4+(1-'R&amp;C-Painel de Controle'!$D$58)*(E15*F15*1.25+E16*F16)/4,"-")</f>
        <v>-</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5">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95" customHeight="1" thickTop="1" thickBot="1" x14ac:dyDescent="0.4">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3">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7" customHeight="1" collapsed="1" x14ac:dyDescent="0.3">
      <c r="A29" s="483"/>
      <c r="B29" s="1111" t="s">
        <v>430</v>
      </c>
      <c r="C29" s="1058"/>
      <c r="D29" s="1217"/>
      <c r="E29" s="1088" t="str">
        <f>(IF(E$7="SIM",(E33)*2.4*12/$H$2,"-"))</f>
        <v>-</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3">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95" hidden="1" customHeight="1" outlineLevel="1" x14ac:dyDescent="0.3">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95" hidden="1" customHeight="1" outlineLevel="1" x14ac:dyDescent="0.3">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95" hidden="1" customHeight="1" outlineLevel="1" x14ac:dyDescent="0.3">
      <c r="A33" s="484"/>
      <c r="B33" s="1211" t="s">
        <v>683</v>
      </c>
      <c r="C33" s="1101"/>
      <c r="D33" s="1215"/>
      <c r="E33" s="369" t="str">
        <f>IF(E$7="SIM",'R&amp;C-Painel de Controle'!$D$63+(E31*3/10+E32)*'R&amp;C-Painel de Controle'!$D$64+E31*E22*3*'R&amp;C-Painel de Controle'!$D$65,"-")</f>
        <v>-</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7" customHeight="1" collapsed="1" x14ac:dyDescent="0.3">
      <c r="A34" s="483"/>
      <c r="B34" s="1111" t="s">
        <v>431</v>
      </c>
      <c r="C34" s="1058"/>
      <c r="D34" s="1217"/>
      <c r="E34" s="1088" t="str">
        <f>(IF(E$7="SIM",(E35*$H$2/1000*'R&amp;C-Painel de Controle'!$D$68+E36/1000*'R&amp;C-Painel de Controle'!$D$69*12)/$H$2,"-"))</f>
        <v>-</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95" hidden="1" customHeight="1" outlineLevel="1" x14ac:dyDescent="0.3">
      <c r="A35" s="484"/>
      <c r="B35" s="937" t="s">
        <v>708</v>
      </c>
      <c r="C35" s="933"/>
      <c r="D35" s="1703">
        <v>3.2500000000000001E-2</v>
      </c>
      <c r="E35" s="338">
        <f>(1-'R&amp;C-Painel de Controle'!$D$58)*F35*'R-Definição'!$E$114+('R&amp;C-Painel de Controle'!$D$58)*D35*'R-Definição'!$E$114</f>
        <v>0</v>
      </c>
      <c r="F35" s="868">
        <f>D35*(1+F34)</f>
        <v>4.0625000000000001E-2</v>
      </c>
      <c r="G35" s="935"/>
      <c r="H35" s="1703">
        <f>D35*95%</f>
        <v>3.0875E-2</v>
      </c>
      <c r="I35" s="338">
        <f>(1-'R&amp;C-Painel de Controle'!$D$58)*J35*'R-Definição'!$E$114+('R&amp;C-Painel de Controle'!$D$58)*H35*'R-Definição'!$E$114</f>
        <v>0</v>
      </c>
      <c r="J35" s="868">
        <f>H35*(1+J34)</f>
        <v>3.8593749999999996E-2</v>
      </c>
      <c r="K35" s="935"/>
      <c r="L35" s="1703">
        <f>H35*95%</f>
        <v>2.933125E-2</v>
      </c>
      <c r="M35" s="338">
        <f>(1-'R&amp;C-Painel de Controle'!$D$58)*N35*'R-Definição'!$E$114+('R&amp;C-Painel de Controle'!$D$58)*L35*'R-Definição'!$E$114</f>
        <v>0</v>
      </c>
      <c r="N35" s="868">
        <f>L35*(1+N34)</f>
        <v>3.6664062499999997E-2</v>
      </c>
      <c r="O35" s="935"/>
      <c r="P35" s="1703">
        <f>L35*95%</f>
        <v>2.7864687499999999E-2</v>
      </c>
      <c r="Q35" s="338">
        <f>(1-'R&amp;C-Painel de Controle'!$D$58)*R35*'R-Definição'!$E$114+('R&amp;C-Painel de Controle'!$D$58)*P35*'R-Definição'!$E$114</f>
        <v>0</v>
      </c>
      <c r="R35" s="868">
        <f>P35*(1+R34)</f>
        <v>3.4830859374999995E-2</v>
      </c>
      <c r="S35" s="935"/>
      <c r="T35" s="1703">
        <f>P35*95%</f>
        <v>2.6471453124999999E-2</v>
      </c>
      <c r="U35" s="338">
        <f>(1-'R&amp;C-Painel de Controle'!$D$58)*V35*'R-Definição'!$E$114+('R&amp;C-Painel de Controle'!$D$58)*T35*'R-Definição'!$E$114</f>
        <v>0</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95" hidden="1" customHeight="1" outlineLevel="1" x14ac:dyDescent="0.3">
      <c r="A36" s="484"/>
      <c r="B36" s="937" t="s">
        <v>685</v>
      </c>
      <c r="C36" s="933"/>
      <c r="D36" s="516"/>
      <c r="E36" s="338">
        <f>E35*F11*(0.9)*0.92/24</f>
        <v>0</v>
      </c>
      <c r="F36" s="516"/>
      <c r="G36" s="934"/>
      <c r="H36" s="516"/>
      <c r="I36" s="338">
        <f>I35*J11*(0.9)*0.92/24</f>
        <v>0</v>
      </c>
      <c r="J36" s="516"/>
      <c r="K36" s="934"/>
      <c r="L36" s="516"/>
      <c r="M36" s="338">
        <f>M35*N11*(0.9)*0.92/24</f>
        <v>0</v>
      </c>
      <c r="N36" s="516"/>
      <c r="O36" s="934"/>
      <c r="P36" s="516"/>
      <c r="Q36" s="338">
        <f>Q35*R11*(0.9)*0.92/24</f>
        <v>0</v>
      </c>
      <c r="R36" s="516"/>
      <c r="S36" s="934"/>
      <c r="T36" s="516"/>
      <c r="U36" s="338">
        <f>U35*V11*(0.9)*0.92/24</f>
        <v>0</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7" customHeight="1" collapsed="1" x14ac:dyDescent="0.3">
      <c r="A37" s="1337"/>
      <c r="B37" s="1111" t="s">
        <v>432</v>
      </c>
      <c r="C37" s="1337"/>
      <c r="D37" s="1353"/>
      <c r="E37" s="337" t="str">
        <f>(IF(E$7="SIM",(E15*1000000*E38+E39*12)/$H$2,"-"))</f>
        <v>-</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95" hidden="1" customHeight="1" outlineLevel="1" x14ac:dyDescent="0.3">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95" hidden="1" customHeight="1" outlineLevel="1" x14ac:dyDescent="0.3">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7" customHeight="1" collapsed="1" x14ac:dyDescent="0.3">
      <c r="A40" s="1337"/>
      <c r="B40" s="1111" t="s">
        <v>434</v>
      </c>
      <c r="C40" s="1337"/>
      <c r="D40" s="1353"/>
      <c r="E40" s="337" t="str">
        <f>(IF(E$7="SIM",(E43+E41*E42*D41)*12/$H$2,"-"))</f>
        <v>-</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95" hidden="1" customHeight="1" outlineLevel="1" x14ac:dyDescent="0.3">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95" hidden="1" customHeight="1" outlineLevel="1" x14ac:dyDescent="0.3">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95" hidden="1" customHeight="1" outlineLevel="1" x14ac:dyDescent="0.3">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7" customHeight="1" collapsed="1" x14ac:dyDescent="0.3">
      <c r="A44" s="1337"/>
      <c r="B44" s="1111" t="s">
        <v>439</v>
      </c>
      <c r="C44" s="1337"/>
      <c r="D44" s="1353"/>
      <c r="E44" s="337" t="str">
        <f>(IF(E$7="SIM",($H$2*E45*'R&amp;C-Painel de Controle'!$D75+$H$2*E46*'R&amp;C-Painel de Controle'!$D$76+$H$2*E47*'R&amp;C-Painel de Controle'!$D$77+$H$2*E48*'R&amp;C-Painel de Controle'!$D$79+$H$2*E49*'R&amp;C-Painel de Controle'!$D$78+'R-Resumo Bal. Massa'!$G$39*313*E50*'R&amp;C-Painel de Controle'!$D$90)/$H$2+2.5,"-"))</f>
        <v>-</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95" hidden="1" customHeight="1" outlineLevel="1" x14ac:dyDescent="0.3">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95" hidden="1" customHeight="1" outlineLevel="1" x14ac:dyDescent="0.3">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95" hidden="1" customHeight="1" outlineLevel="1" x14ac:dyDescent="0.3">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95" hidden="1" customHeight="1" outlineLevel="1" x14ac:dyDescent="0.3">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95" hidden="1" customHeight="1" outlineLevel="1" x14ac:dyDescent="0.3">
      <c r="A49" s="724"/>
      <c r="B49" s="1349" t="s">
        <v>1116</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95" hidden="1" customHeight="1" outlineLevel="1" x14ac:dyDescent="0.3">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95" customHeight="1" x14ac:dyDescent="0.35">
      <c r="A51" s="1338"/>
      <c r="B51" s="1350" t="s">
        <v>435</v>
      </c>
      <c r="C51" s="1338"/>
      <c r="D51" s="1702">
        <v>2.5000000000000001E-2</v>
      </c>
      <c r="E51" s="1319" t="str">
        <f>(IF(E$7="SIM",(1-'R&amp;C-Painel de Controle'!$D$58)*(E29+E34+E37+E40+E44)*(1+F51)+('R&amp;C-Painel de Controle'!$D$58)*(E29+E34+E37+E40+E44)*(1+D51),"-"))</f>
        <v>-</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95" customHeight="1" x14ac:dyDescent="0.35">
      <c r="A52" s="1338"/>
      <c r="B52" s="1350" t="s">
        <v>436</v>
      </c>
      <c r="C52" s="1338"/>
      <c r="D52" s="1366"/>
      <c r="E52" s="1323" t="str">
        <f>(IF(E$7="SIM",E51*$H$2/1000000,"-"))</f>
        <v>-</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95" customHeight="1" x14ac:dyDescent="0.3">
      <c r="A53" s="1339"/>
      <c r="B53" s="1351" t="s">
        <v>437</v>
      </c>
      <c r="C53" s="1339"/>
      <c r="D53" s="1368"/>
      <c r="E53" s="1333" t="str">
        <f>(IF(E$7="SIM",(((E29*$H$2/12)+(E36/1000*'R&amp;C-Painel de Controle'!$D$69*12)+(E39*12)+((E41*E42)+E43)*12))/1000000,"-"))</f>
        <v>-</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95" customHeight="1" thickBot="1" x14ac:dyDescent="0.35">
      <c r="A54" s="1339"/>
      <c r="B54" s="1352" t="s">
        <v>438</v>
      </c>
      <c r="C54" s="1339"/>
      <c r="D54" s="1370"/>
      <c r="E54" s="1371" t="str">
        <f>(IF(E$7="SIM",((E52-E53)*1000000)/$H$2,"-"))</f>
        <v>-</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3">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V12" sqref="V12"/>
    </sheetView>
  </sheetViews>
  <sheetFormatPr defaultColWidth="14.44140625" defaultRowHeight="15" customHeight="1" outlineLevelRow="1" x14ac:dyDescent="0.3"/>
  <cols>
    <col min="1" max="1" width="1.332031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8.6640625" hidden="1" customWidth="1"/>
    <col min="25" max="26" width="9.44140625" hidden="1" customWidth="1"/>
    <col min="27" max="27" width="10.33203125" hidden="1" customWidth="1"/>
    <col min="28" max="61" width="8.44140625" customWidth="1"/>
  </cols>
  <sheetData>
    <row r="1" spans="1:61" ht="19.95" customHeight="1" x14ac:dyDescent="0.3">
      <c r="A1" s="476"/>
      <c r="B1" s="2413" t="s">
        <v>867</v>
      </c>
      <c r="C1" s="484"/>
      <c r="D1" s="484"/>
      <c r="E1" s="484"/>
      <c r="F1" s="484"/>
      <c r="G1" s="484"/>
      <c r="H1" s="484"/>
      <c r="I1" s="484"/>
      <c r="J1" s="1334"/>
      <c r="K1" s="1334"/>
      <c r="L1" s="1334"/>
      <c r="M1" s="1334"/>
      <c r="N1" s="484"/>
      <c r="O1" s="484"/>
      <c r="P1" s="484"/>
      <c r="Q1" s="484"/>
      <c r="R1" s="484"/>
      <c r="S1" s="484"/>
      <c r="T1" s="484"/>
      <c r="U1" s="484"/>
      <c r="V1" s="484"/>
    </row>
    <row r="2" spans="1:61" ht="19.95" customHeight="1" x14ac:dyDescent="0.35">
      <c r="A2" s="947"/>
      <c r="B2" s="2413"/>
      <c r="C2" s="487"/>
      <c r="D2" s="1097">
        <f>IF('R-Definição'!E121="Novo",('R-Resumo Bal. Massa'!B47+'R&amp;C-Painel de Controle'!D31)*(1+'R&amp;C-Painel de Controle'!H74),0)</f>
        <v>160.89375000000001</v>
      </c>
      <c r="E2" s="1098" t="s">
        <v>21</v>
      </c>
      <c r="F2" s="1307"/>
      <c r="G2" s="1307"/>
      <c r="H2" s="1305">
        <f>D2*313</f>
        <v>50359.743750000001</v>
      </c>
      <c r="I2" s="1304" t="s">
        <v>298</v>
      </c>
      <c r="J2" s="1307"/>
      <c r="K2" s="130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95" customHeight="1" x14ac:dyDescent="0.3">
      <c r="A3" s="476"/>
      <c r="B3" s="2413"/>
      <c r="C3" s="478"/>
      <c r="D3" s="477"/>
      <c r="E3" s="477"/>
      <c r="F3" s="477"/>
      <c r="G3" s="477"/>
      <c r="H3" s="477"/>
      <c r="I3" s="477"/>
      <c r="J3" s="477"/>
      <c r="K3" s="477"/>
      <c r="L3" s="477"/>
      <c r="M3" s="477"/>
      <c r="N3" s="477"/>
      <c r="O3" s="482"/>
      <c r="P3" s="477"/>
      <c r="Q3" s="477"/>
      <c r="R3" s="477"/>
      <c r="S3" s="477"/>
      <c r="T3" s="477"/>
      <c r="U3" s="477"/>
      <c r="V3" s="477"/>
    </row>
    <row r="4" spans="1:61" s="1307" customFormat="1" ht="7.95" customHeight="1" x14ac:dyDescent="0.3">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5" customHeight="1" x14ac:dyDescent="0.3">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95" customHeight="1" x14ac:dyDescent="0.3">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1307" customFormat="1" ht="7.95" customHeight="1" thickBot="1" x14ac:dyDescent="0.35">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A9" s="476"/>
      <c r="B9" s="2407" t="s">
        <v>691</v>
      </c>
      <c r="C9" s="1099"/>
      <c r="D9" s="2410" t="s">
        <v>451</v>
      </c>
      <c r="E9" s="2411"/>
      <c r="F9" s="2411"/>
      <c r="G9" s="2411"/>
      <c r="H9" s="2411"/>
      <c r="I9" s="2411"/>
      <c r="J9" s="2411"/>
      <c r="K9" s="2411"/>
      <c r="L9" s="2411"/>
      <c r="M9" s="2411"/>
      <c r="N9" s="2411"/>
      <c r="O9" s="2411"/>
      <c r="P9" s="2411"/>
      <c r="Q9" s="2411"/>
      <c r="R9" s="2411"/>
      <c r="S9" s="2411"/>
      <c r="T9" s="2411"/>
      <c r="U9" s="2411"/>
      <c r="V9" s="2412"/>
    </row>
    <row r="10" spans="1:61" ht="7.5" customHeight="1" x14ac:dyDescent="0.3">
      <c r="A10" s="476"/>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A11" s="476"/>
      <c r="B11" s="2409"/>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3000</v>
      </c>
    </row>
    <row r="12" spans="1:61" s="1307" customFormat="1" ht="7.95" customHeight="1" thickTop="1" thickBot="1" x14ac:dyDescent="0.35">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95" customHeight="1" thickTop="1" thickBot="1" x14ac:dyDescent="0.4">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5" customHeight="1" x14ac:dyDescent="0.3">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95" customHeight="1" x14ac:dyDescent="0.3">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f>(IF(M$7="SIM",L15*(1-(($D$2-L$11)/(N$11-L$11)))+N15*(1-((N$11-$D$2)/(N$11-L$11))),"-"))</f>
        <v>1.1448746289687501</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95" customHeight="1" x14ac:dyDescent="0.3">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f>(IF(M$7="SIM",L16*(1-(($D$2-L$11)/(N$11-L$11)))+N16*(1-((N$11-$D$2)/(N$11-L$11))),"-"))</f>
        <v>10.926641174906251</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95" customHeight="1" x14ac:dyDescent="0.3">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f>(IF(M$7="SIM",(L17*(1-(($D$2-L$11)/(N$11-L$11)))+N17*(1-((N$11-$D$2)/(N$11-L$11))))*10000*('R&amp;C-Painel de Controle'!$D$56+0.18)/1000000,"-"))</f>
        <v>3.0333026017187503</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95" customHeight="1" x14ac:dyDescent="0.35">
      <c r="A18" s="1453"/>
      <c r="B18" s="1435" t="s">
        <v>426</v>
      </c>
      <c r="C18" s="1454"/>
      <c r="D18" s="1455" t="s">
        <v>338</v>
      </c>
      <c r="E18" s="1456" t="str">
        <f>IF(E7="SIM",SUM(E15:E17),"-")</f>
        <v>-</v>
      </c>
      <c r="F18" s="1457"/>
      <c r="G18" s="1454"/>
      <c r="H18" s="1458"/>
      <c r="I18" s="1456" t="str">
        <f>IF(I7="SIM",SUM(I15:I17),"-")</f>
        <v>-</v>
      </c>
      <c r="J18" s="1459"/>
      <c r="K18" s="1454"/>
      <c r="L18" s="1458"/>
      <c r="M18" s="1456">
        <f>IF(M7="SIM",SUM(M15:M17),"-")</f>
        <v>15.104818405593752</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95" customHeight="1" outlineLevel="1" x14ac:dyDescent="0.3">
      <c r="A19" s="1380"/>
      <c r="B19" s="1348" t="s">
        <v>427</v>
      </c>
      <c r="C19" s="724"/>
      <c r="D19" s="1444" t="s">
        <v>338</v>
      </c>
      <c r="E19" s="338" t="str">
        <f>IF(E7="SIM",E18*1000000/$H$2,"-")</f>
        <v>-</v>
      </c>
      <c r="F19" s="1445"/>
      <c r="G19" s="724"/>
      <c r="H19" s="1437"/>
      <c r="I19" s="338" t="str">
        <f>IF(I7="SIM",I18*1000000/$H$2,"-")</f>
        <v>-</v>
      </c>
      <c r="J19" s="1438"/>
      <c r="K19" s="724"/>
      <c r="L19" s="1437"/>
      <c r="M19" s="338">
        <f>IF(M7="SIM",M18*1000000/$H$2,"-")</f>
        <v>299.93834918180562</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95" customHeight="1" outlineLevel="1" x14ac:dyDescent="0.3">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95" customHeight="1" collapsed="1" x14ac:dyDescent="0.3">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f>(IF(M$7="SIM",L21*(1-(($D$2-L11)/(N11-L11)))+N21*(1-((N11-$D$2)/(N11-L11))),"-"))</f>
        <v>5.7653211079843754</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95" customHeight="1" thickBot="1" x14ac:dyDescent="0.35">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f>(IF(M$7="SIM",L22*(1-(($D$2-L11)/(N11-L11)))+N22*(1-((N11-$D$2)/(N11-L11))),"-"))</f>
        <v>12.957581094860938</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5">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95" customHeight="1" thickTop="1" thickBot="1" x14ac:dyDescent="0.4">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5" customHeight="1" x14ac:dyDescent="0.3">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95" customHeight="1" x14ac:dyDescent="0.3">
      <c r="A26" s="766"/>
      <c r="B26" s="1210" t="s">
        <v>851</v>
      </c>
      <c r="C26" s="1384"/>
      <c r="D26" s="1400"/>
      <c r="E26" s="412" t="str">
        <f>(IF(E$7="SIM",E27+E28,"-"))</f>
        <v>-</v>
      </c>
      <c r="F26" s="1401"/>
      <c r="G26" s="1384"/>
      <c r="H26" s="1400"/>
      <c r="I26" s="412" t="str">
        <f>(IF(I$7="SIM",I27+I28,"-"))</f>
        <v>-</v>
      </c>
      <c r="J26" s="1401"/>
      <c r="K26" s="1384"/>
      <c r="L26" s="1400"/>
      <c r="M26" s="412">
        <f>(IF(M$7="SIM",M27+M28,"-"))</f>
        <v>1.2582506038533854</v>
      </c>
      <c r="N26" s="1401"/>
      <c r="O26" s="1384"/>
      <c r="P26" s="1400"/>
      <c r="Q26" s="412" t="str">
        <f>(IF(Q$7="SIM",Q27+Q28,"-"))</f>
        <v>-</v>
      </c>
      <c r="R26" s="1401"/>
      <c r="S26" s="1384"/>
      <c r="T26" s="1400"/>
      <c r="U26" s="412" t="str">
        <f>(IF(U$7="SIM",U27+U28,"-"))</f>
        <v>-</v>
      </c>
      <c r="V26" s="1414"/>
      <c r="W26" s="1393"/>
    </row>
    <row r="27" spans="1:61" ht="16.95" customHeight="1" outlineLevel="1" x14ac:dyDescent="0.3">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f>(IF(M$7="SIM",(L27*(1-(($D$2-L$11)/(N$11-L$11)))+N27*(1-((N$11-$D$2)/(N$11-L$11))))/1000000,"-"))</f>
        <v>0.67701830286218745</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95" customHeight="1" outlineLevel="1" x14ac:dyDescent="0.3">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f>(IF(M$7="SIM",(L28*(1-(($D$2-L$11)/(N$11-L$11)))+N28*(1-((N$11-$D$2)/(N$11-L$11))))/1000000,"-"))</f>
        <v>0.58123230099119805</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95" customHeight="1" x14ac:dyDescent="0.3">
      <c r="A29" s="1380"/>
      <c r="B29" s="1210" t="s">
        <v>850</v>
      </c>
      <c r="C29" s="1385"/>
      <c r="D29" s="1402"/>
      <c r="E29" s="412" t="str">
        <f>(IF(E$7="SIM",E30,"-"))</f>
        <v>-</v>
      </c>
      <c r="F29" s="1403"/>
      <c r="G29" s="1387"/>
      <c r="H29" s="1402"/>
      <c r="I29" s="412" t="str">
        <f>(IF(I$7="SIM",I30,"-"))</f>
        <v>-</v>
      </c>
      <c r="J29" s="1403"/>
      <c r="K29" s="1387"/>
      <c r="L29" s="1402"/>
      <c r="M29" s="412">
        <f>(IF(M$7="SIM",M30,"-"))</f>
        <v>1.1277190718750002E-2</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95" customHeight="1" outlineLevel="1" x14ac:dyDescent="0.3">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f>(IF(M$7="SIM",(L30*(1-(($D$2-L$11)/(N$11-L$11)))+N30*(1-((N$11-$D$2)/(N$11-L$11))))/1000000,"-"))</f>
        <v>1.1277190718750002E-2</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95" customHeight="1" x14ac:dyDescent="0.3">
      <c r="A31" s="766"/>
      <c r="B31" s="1210" t="s">
        <v>852</v>
      </c>
      <c r="C31" s="1384"/>
      <c r="D31" s="1402"/>
      <c r="E31" s="412" t="str">
        <f>(IF(E$7="SIM",E32+E33+E34+E35,"-"))</f>
        <v>-</v>
      </c>
      <c r="F31" s="1403"/>
      <c r="G31" s="1388"/>
      <c r="H31" s="1402"/>
      <c r="I31" s="412" t="str">
        <f>(IF(I$7="SIM",I32+I33+I34+I35,"-"))</f>
        <v>-</v>
      </c>
      <c r="J31" s="1403"/>
      <c r="K31" s="1388"/>
      <c r="L31" s="1402"/>
      <c r="M31" s="412">
        <f>(IF(M$7="SIM",M32+M33+M34+M35,"-"))</f>
        <v>0.1509410452796528</v>
      </c>
      <c r="N31" s="1403"/>
      <c r="O31" s="1388"/>
      <c r="P31" s="1402"/>
      <c r="Q31" s="412" t="str">
        <f>(IF(Q$7="SIM",Q32+Q33+Q34+Q35,"-"))</f>
        <v>-</v>
      </c>
      <c r="R31" s="1403"/>
      <c r="S31" s="1388"/>
      <c r="T31" s="1402"/>
      <c r="U31" s="412" t="str">
        <f>(IF(U$7="SIM",U32+U33+U34+U35,"-"))</f>
        <v>-</v>
      </c>
      <c r="V31" s="1415"/>
      <c r="W31" s="1393"/>
      <c r="X31" s="25"/>
    </row>
    <row r="32" spans="1:61" ht="16.95" customHeight="1" outlineLevel="1" x14ac:dyDescent="0.3">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f>(IF(M$7="SIM",(L32*(1-(($D$2-L$11)/(N$11-L$11)))+N32*(1-((N$11-$D$2)/(N$11-L$11))))/1000000,"-"))</f>
        <v>3.3090465061111088E-2</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95" customHeight="1" outlineLevel="1" x14ac:dyDescent="0.3">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f>(IF(M$7="SIM",(L33*(1-(($D$2-L$11)/(N$11-L$11)))+N33*(1-((N$11-$D$2)/(N$11-L$11))))/1000000,"-"))</f>
        <v>4.5146363191875032E-2</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95" customHeight="1" outlineLevel="1" x14ac:dyDescent="0.3">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f>(IF(M$7="SIM",(L34*(1-(($D$2-L$11)/(N$11-L$11)))+N34*(1-((N$11-$D$2)/(N$11-L$11))))/1000000,"-"))</f>
        <v>1.6034210937500002E-3</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95" customHeight="1" outlineLevel="1" x14ac:dyDescent="0.3">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f>(IF(M$7="SIM",(L35*(1-(($D$2-L$11)/(N$11-L$11)))+N35*(1-((N$11-$D$2)/(N$11-L$11))))/1000000,"-"))</f>
        <v>7.1100795932916697E-2</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95" customHeight="1" x14ac:dyDescent="0.3">
      <c r="A36" s="1381"/>
      <c r="B36" s="1210" t="s">
        <v>853</v>
      </c>
      <c r="C36" s="1386"/>
      <c r="D36" s="1402"/>
      <c r="E36" s="412" t="str">
        <f>(IF(E$7="SIM",E37+E38+E39+E40,"-"))</f>
        <v>-</v>
      </c>
      <c r="F36" s="1403"/>
      <c r="G36" s="1387"/>
      <c r="H36" s="1402"/>
      <c r="I36" s="412" t="str">
        <f>(IF(I$7="SIM",I37+I38+I39+I40,"-"))</f>
        <v>-</v>
      </c>
      <c r="J36" s="1403"/>
      <c r="K36" s="1387"/>
      <c r="L36" s="1402"/>
      <c r="M36" s="412">
        <f>(IF(M$7="SIM",M37+M38+M39+M40,"-"))</f>
        <v>1.6281440254912223</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95" customHeight="1" outlineLevel="1" x14ac:dyDescent="0.3">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f>(IF(M$7="SIM",(L37*(1-(($D$2-L$11)/(N$11-L$11)))+N37*(1-((N$11-$D$2)/(N$11-L$11))))/1000000,"-"))</f>
        <v>1.0963737692124547</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95" customHeight="1" outlineLevel="1" x14ac:dyDescent="0.3">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f>(IF(M$7="SIM",(L38*(1-(($D$2-L$11)/(N$11-L$11)))+N38*(1-((N$11-$D$2)/(N$11-L$11))))/1000000,"-"))</f>
        <v>2.9010441616892379E-2</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95" customHeight="1" outlineLevel="1" x14ac:dyDescent="0.3">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f>(IF(M$7="SIM",(L39*(1-(($D$2-L$11)/(N$11-L$11)))+N39*(1-((N$11-$D$2)/(N$11-L$11))))/1000000,"-"))</f>
        <v>4.3862761718749997E-2</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95" customHeight="1" outlineLevel="1" x14ac:dyDescent="0.3">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f>(IF(M$7="SIM",(L40*(1-(($D$2-L$11)/(N$11-L$11)))+N40*(1-((N$11-$D$2)/(N$11-L$11))))/1000000,"-"))</f>
        <v>0.45889705294312527</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95" customHeight="1" x14ac:dyDescent="0.3">
      <c r="A41" s="766"/>
      <c r="B41" s="1210" t="s">
        <v>854</v>
      </c>
      <c r="C41" s="1384"/>
      <c r="D41" s="1402"/>
      <c r="E41" s="412" t="str">
        <f>(IF(E$7="SIM",E42+E43+E44,"-"))</f>
        <v>-</v>
      </c>
      <c r="F41" s="1403"/>
      <c r="G41" s="1390"/>
      <c r="H41" s="1402"/>
      <c r="I41" s="412" t="str">
        <f>(IF(I$7="SIM",I42+I43+I44,"-"))</f>
        <v>-</v>
      </c>
      <c r="J41" s="1403"/>
      <c r="K41" s="1390"/>
      <c r="L41" s="1402"/>
      <c r="M41" s="412">
        <f>(IF(M$7="SIM",M42+M43+M44,"-"))</f>
        <v>2.17893075708783</v>
      </c>
      <c r="N41" s="1403"/>
      <c r="O41" s="1390"/>
      <c r="P41" s="1402"/>
      <c r="Q41" s="412" t="str">
        <f>(IF(Q$7="SIM",Q42+Q43+Q44,"-"))</f>
        <v>-</v>
      </c>
      <c r="R41" s="1403"/>
      <c r="S41" s="1390"/>
      <c r="T41" s="1402"/>
      <c r="U41" s="412" t="str">
        <f>(IF(U$7="SIM",U42+U43+U44,"-"))</f>
        <v>-</v>
      </c>
      <c r="V41" s="1415"/>
      <c r="W41" s="1393"/>
      <c r="X41" s="25"/>
    </row>
    <row r="42" spans="1:61" ht="16.95" customHeight="1" outlineLevel="1" x14ac:dyDescent="0.3">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f>(IF(M$7="SIM",(L42*(1-(($D$2-L$11)/(N$11-L$11)))+N42*(1-((N$11-$D$2)/(N$11-L$11))))/1000000,"-"))</f>
        <v>1.8943330852128299</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95" customHeight="1" outlineLevel="1" x14ac:dyDescent="0.3">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f>(IF(M$7="SIM",(L43*(1-(($D$2-L$11)/(N$11-L$11)))+N43*(1-((N$11-$D$2)/(N$11-L$11))))/1000000,"-"))</f>
        <v>9.8225634375000009E-2</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95" customHeight="1" outlineLevel="1" x14ac:dyDescent="0.3">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f>(IF(M$7="SIM",(L44*(1-(($D$2-L$11)/(N$11-L$11)))+N44*(1-((N$11-$D$2)/(N$11-L$11))))/1000000,"-"))</f>
        <v>0.18637203749999998</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95" customHeight="1" x14ac:dyDescent="0.35">
      <c r="A45" s="1382"/>
      <c r="B45" s="1399" t="s">
        <v>435</v>
      </c>
      <c r="C45" s="1382"/>
      <c r="D45" s="1404"/>
      <c r="E45" s="1375" t="str">
        <f>(IF(E$7="SIM",E46*1000000/$H$2,"-"))</f>
        <v>-</v>
      </c>
      <c r="F45" s="1405"/>
      <c r="G45" s="1391"/>
      <c r="H45" s="1413"/>
      <c r="I45" s="1375" t="str">
        <f>(IF(I$7="SIM",I46*1000000/$H$2,"-"))</f>
        <v>-</v>
      </c>
      <c r="J45" s="1405"/>
      <c r="K45" s="1391"/>
      <c r="L45" s="1413"/>
      <c r="M45" s="1375">
        <f>(IF(M$7="SIM",M46*1000000/$H$2,"-"))</f>
        <v>114.18441708559973</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95" customHeight="1" x14ac:dyDescent="0.35">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f>(IF(M$7="SIM",(M26+M29+M31+M36+M41)*(1+L46),"-"))</f>
        <v>5.7502979846739244</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95" customHeight="1" x14ac:dyDescent="0.3">
      <c r="A47" s="1383"/>
      <c r="B47" s="1213" t="s">
        <v>437</v>
      </c>
      <c r="C47" s="728"/>
      <c r="D47" s="1408"/>
      <c r="E47" s="1378" t="str">
        <f>(IF(E$7="SIM",((E27+E34+E35+E30+E39+E40+E44)*(1+D46)),"-"))</f>
        <v>-</v>
      </c>
      <c r="F47" s="1409"/>
      <c r="G47" s="728"/>
      <c r="H47" s="1408"/>
      <c r="I47" s="1378" t="str">
        <f>(IF(I$7="SIM",((I27+I34+I35+I30+I39+I40+I44)*(1+H46)),"-"))</f>
        <v>-</v>
      </c>
      <c r="J47" s="1409"/>
      <c r="K47" s="728"/>
      <c r="L47" s="1408"/>
      <c r="M47" s="1378">
        <f>(IF(M$7="SIM",((M27+M34+M35+M30+M39+M40+M44)*(1+L46)),"-"))</f>
        <v>1.5951447190464276</v>
      </c>
      <c r="N47" s="1409"/>
      <c r="O47" s="728"/>
      <c r="P47" s="1408"/>
      <c r="Q47" s="1378" t="str">
        <f>(IF(Q$7="SIM",((Q27+Q34+Q35+Q30+Q39+Q40+Q44)*(1+P46)),"-"))</f>
        <v>-</v>
      </c>
      <c r="R47" s="1409"/>
      <c r="S47" s="728"/>
      <c r="T47" s="1408"/>
      <c r="U47" s="1378" t="str">
        <f>(IF(U$7="SIM",((U27+U34+U35+U30+U39+U40+U44)*(1+T46)),"-"))</f>
        <v>-</v>
      </c>
      <c r="V47" s="1417"/>
      <c r="W47" s="1397"/>
    </row>
    <row r="48" spans="1:61" s="862" customFormat="1" ht="16.95" customHeight="1" thickBot="1" x14ac:dyDescent="0.35">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f>(IF(M$7="SIM",((M37+M28+M38+M32+M33+M42+M43)*1000000/$H$2)*(1+L46),"-"))</f>
        <v>82.50942034683203</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3">
      <c r="B49" s="1"/>
    </row>
    <row r="50" spans="2:21" ht="14.25" customHeight="1" x14ac:dyDescent="0.3">
      <c r="B50" s="1"/>
      <c r="U50" s="61"/>
    </row>
    <row r="51" spans="2:21" ht="14.25" customHeight="1" x14ac:dyDescent="0.3">
      <c r="B51" s="1"/>
    </row>
    <row r="52" spans="2:21" ht="14.25" customHeight="1" x14ac:dyDescent="0.3">
      <c r="B52" s="1"/>
    </row>
    <row r="53" spans="2:21" ht="14.25" customHeight="1" x14ac:dyDescent="0.3">
      <c r="B53" s="1"/>
    </row>
    <row r="54" spans="2:21" ht="14.25" customHeight="1" x14ac:dyDescent="0.3">
      <c r="B54" s="1"/>
    </row>
    <row r="55" spans="2:21" ht="14.25" customHeight="1" x14ac:dyDescent="0.3">
      <c r="B55" s="1"/>
    </row>
    <row r="56" spans="2:21" ht="14.25" customHeight="1" x14ac:dyDescent="0.3">
      <c r="B56" s="1"/>
    </row>
    <row r="57" spans="2:21" ht="14.25" customHeight="1" x14ac:dyDescent="0.3">
      <c r="B57" s="1"/>
    </row>
    <row r="58" spans="2:21" ht="14.25" customHeight="1" x14ac:dyDescent="0.3">
      <c r="B58" s="1"/>
    </row>
    <row r="59" spans="2:21" ht="14.25" customHeight="1" x14ac:dyDescent="0.3">
      <c r="B59" s="1"/>
    </row>
    <row r="60" spans="2:21" ht="14.25" customHeight="1" x14ac:dyDescent="0.3">
      <c r="B60" s="1"/>
    </row>
    <row r="61" spans="2:21" ht="14.25" customHeight="1" x14ac:dyDescent="0.3">
      <c r="B61" s="1"/>
    </row>
    <row r="62" spans="2:21" ht="14.25" customHeight="1" x14ac:dyDescent="0.3">
      <c r="B62" s="1"/>
    </row>
    <row r="63" spans="2:21" ht="14.25" customHeight="1" x14ac:dyDescent="0.3">
      <c r="B63" s="1"/>
    </row>
    <row r="64" spans="2:21" ht="14.25" customHeight="1" x14ac:dyDescent="0.3">
      <c r="B64" s="1"/>
    </row>
    <row r="65" spans="2:2" ht="14.25" customHeight="1" x14ac:dyDescent="0.3">
      <c r="B65" s="1"/>
    </row>
    <row r="66" spans="2:2" ht="14.25" customHeight="1" x14ac:dyDescent="0.3">
      <c r="B66" s="1"/>
    </row>
    <row r="67" spans="2:2" ht="14.25" customHeight="1" x14ac:dyDescent="0.3">
      <c r="B67" s="1"/>
    </row>
    <row r="68" spans="2:2" ht="14.25" customHeight="1" x14ac:dyDescent="0.3">
      <c r="B68" s="1"/>
    </row>
    <row r="69" spans="2:2" ht="14.25" customHeight="1" x14ac:dyDescent="0.3">
      <c r="B69" s="1"/>
    </row>
    <row r="70" spans="2:2" ht="14.25" customHeight="1" x14ac:dyDescent="0.3">
      <c r="B70" s="1"/>
    </row>
    <row r="71" spans="2:2" ht="14.25" customHeight="1" x14ac:dyDescent="0.3">
      <c r="B71" s="1"/>
    </row>
    <row r="72" spans="2:2" ht="14.25" customHeight="1" x14ac:dyDescent="0.3">
      <c r="B72" s="1"/>
    </row>
    <row r="73" spans="2:2" ht="14.25" customHeight="1" x14ac:dyDescent="0.3">
      <c r="B73" s="1"/>
    </row>
    <row r="74" spans="2:2" ht="14.25" customHeight="1" x14ac:dyDescent="0.3">
      <c r="B74" s="1"/>
    </row>
    <row r="75" spans="2:2" ht="14.25" customHeight="1" x14ac:dyDescent="0.3">
      <c r="B75" s="1"/>
    </row>
    <row r="76" spans="2:2" ht="14.25" customHeight="1" x14ac:dyDescent="0.3">
      <c r="B76" s="1"/>
    </row>
    <row r="77" spans="2:2" ht="14.25" customHeight="1" x14ac:dyDescent="0.3">
      <c r="B77" s="1"/>
    </row>
    <row r="78" spans="2:2" ht="14.25" customHeight="1" x14ac:dyDescent="0.3">
      <c r="B78" s="1"/>
    </row>
    <row r="79" spans="2:2" ht="14.25" customHeight="1" x14ac:dyDescent="0.3">
      <c r="B79" s="1"/>
    </row>
    <row r="80" spans="2:2" ht="14.25" customHeight="1" x14ac:dyDescent="0.3">
      <c r="B80" s="1"/>
    </row>
    <row r="81" spans="2:2" ht="14.25" customHeight="1" x14ac:dyDescent="0.3">
      <c r="B81" s="1"/>
    </row>
    <row r="82" spans="2:2" ht="14.25" customHeight="1" x14ac:dyDescent="0.3">
      <c r="B82" s="1"/>
    </row>
    <row r="83" spans="2:2" ht="14.25" customHeight="1" x14ac:dyDescent="0.3">
      <c r="B83" s="1"/>
    </row>
    <row r="84" spans="2:2" ht="14.25" customHeight="1" x14ac:dyDescent="0.3">
      <c r="B84" s="1"/>
    </row>
    <row r="85" spans="2:2" ht="14.25" customHeight="1" x14ac:dyDescent="0.3">
      <c r="B85" s="1"/>
    </row>
    <row r="86" spans="2:2" ht="14.25" customHeight="1" x14ac:dyDescent="0.3">
      <c r="B86" s="1"/>
    </row>
    <row r="87" spans="2:2" ht="14.25" customHeight="1" x14ac:dyDescent="0.3">
      <c r="B87" s="1"/>
    </row>
    <row r="88" spans="2:2" ht="14.25" customHeight="1" x14ac:dyDescent="0.3">
      <c r="B88" s="1"/>
    </row>
    <row r="89" spans="2:2" ht="14.25" customHeight="1" x14ac:dyDescent="0.3">
      <c r="B89" s="1"/>
    </row>
    <row r="90" spans="2:2" ht="14.25" customHeight="1" x14ac:dyDescent="0.3">
      <c r="B90" s="1"/>
    </row>
    <row r="91" spans="2:2" ht="14.25" customHeight="1" x14ac:dyDescent="0.3">
      <c r="B91" s="1"/>
    </row>
    <row r="92" spans="2:2" ht="14.25" customHeight="1" x14ac:dyDescent="0.3">
      <c r="B92" s="1"/>
    </row>
    <row r="93" spans="2:2" ht="14.25" customHeight="1" x14ac:dyDescent="0.3">
      <c r="B93" s="1"/>
    </row>
    <row r="94" spans="2:2" ht="14.25" customHeight="1" x14ac:dyDescent="0.3">
      <c r="B94" s="1"/>
    </row>
    <row r="95" spans="2:2" ht="14.25" customHeight="1" x14ac:dyDescent="0.3">
      <c r="B95" s="1"/>
    </row>
    <row r="96" spans="2:2" ht="14.25" customHeight="1" x14ac:dyDescent="0.3">
      <c r="B96" s="1"/>
    </row>
    <row r="97" spans="2:2" ht="14.25" customHeight="1" x14ac:dyDescent="0.3">
      <c r="B97" s="1"/>
    </row>
    <row r="98" spans="2:2" ht="14.25" customHeight="1" x14ac:dyDescent="0.3">
      <c r="B98" s="1"/>
    </row>
    <row r="99" spans="2:2" ht="14.25" customHeight="1" x14ac:dyDescent="0.3">
      <c r="B99" s="1"/>
    </row>
    <row r="100" spans="2:2" ht="14.25" customHeight="1" x14ac:dyDescent="0.3">
      <c r="B100" s="1"/>
    </row>
    <row r="101" spans="2:2" ht="14.25" customHeight="1" x14ac:dyDescent="0.3">
      <c r="B101" s="1"/>
    </row>
    <row r="102" spans="2:2" ht="14.25" customHeight="1" x14ac:dyDescent="0.3">
      <c r="B102" s="1"/>
    </row>
    <row r="103" spans="2:2" ht="14.25" customHeight="1" x14ac:dyDescent="0.3">
      <c r="B103" s="1"/>
    </row>
    <row r="104" spans="2:2" ht="14.25" customHeight="1" x14ac:dyDescent="0.3">
      <c r="B104" s="1"/>
    </row>
    <row r="105" spans="2:2" ht="14.25" customHeight="1" x14ac:dyDescent="0.3">
      <c r="B105" s="1"/>
    </row>
    <row r="106" spans="2:2" ht="14.25" customHeight="1" x14ac:dyDescent="0.3">
      <c r="B106" s="1"/>
    </row>
    <row r="107" spans="2:2" ht="14.25" customHeight="1" x14ac:dyDescent="0.3">
      <c r="B107" s="1"/>
    </row>
  </sheetData>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2022-07-23T22:24:56Z</dcterms:modified>
</cp:coreProperties>
</file>