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
    </mc:Choice>
  </mc:AlternateContent>
  <xr:revisionPtr revIDLastSave="0" documentId="13_ncr:1_{95DDE324-C6D6-414B-94D0-EB7BA75ECF88}"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 l="1"/>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 i="22" s="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Z18" i="7"/>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S16" i="22"/>
  <c r="R31" i="11"/>
  <c r="T33" i="11"/>
  <c r="U15" i="22" s="1"/>
  <c r="N19" i="18"/>
  <c r="D46" i="11"/>
  <c r="D48" i="11" s="1"/>
  <c r="D134" i="11" s="1"/>
  <c r="W12" i="8"/>
  <c r="I46" i="18"/>
  <c r="I48" i="18" s="1"/>
  <c r="J128" i="3"/>
  <c r="K75" i="6" s="1"/>
  <c r="J127" i="3"/>
  <c r="K74" i="6" s="1"/>
  <c r="I38" i="7"/>
  <c r="I31" i="7"/>
  <c r="I37" i="7"/>
  <c r="I35" i="7"/>
  <c r="I39" i="7"/>
  <c r="I36" i="7"/>
  <c r="K72" i="8"/>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42" i="16" s="1"/>
  <c r="U43" i="16" s="1"/>
  <c r="U45" i="16" s="1"/>
  <c r="U38" i="16"/>
  <c r="U16" i="16"/>
  <c r="AO27" i="5"/>
  <c r="AO51" i="5" s="1"/>
  <c r="G50" i="6"/>
  <c r="C118" i="22" s="1"/>
  <c r="M32" i="15"/>
  <c r="M38" i="15"/>
  <c r="M16" i="15"/>
  <c r="M15" i="15"/>
  <c r="M27" i="15"/>
  <c r="M44" i="15" s="1"/>
  <c r="M41" i="15"/>
  <c r="M17" i="15"/>
  <c r="Q16" i="16"/>
  <c r="Q32" i="16"/>
  <c r="Q41" i="16"/>
  <c r="Q15" i="16"/>
  <c r="Q35" i="16" s="1"/>
  <c r="Q38" i="16"/>
  <c r="Q17" i="16"/>
  <c r="Q27" i="16"/>
  <c r="Q44" i="16" s="1"/>
  <c r="G63" i="8"/>
  <c r="E27" i="16"/>
  <c r="E44" i="16" s="1"/>
  <c r="E32" i="16"/>
  <c r="E38" i="16"/>
  <c r="E17" i="16"/>
  <c r="E16" i="16"/>
  <c r="E41" i="16"/>
  <c r="E15" i="16"/>
  <c r="E35" i="16" s="1"/>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42" i="16" l="1"/>
  <c r="E43" i="16" s="1"/>
  <c r="E45" i="16" s="1"/>
  <c r="P18" i="16"/>
  <c r="Q18" i="16" s="1"/>
  <c r="Q19" i="16" s="1"/>
  <c r="Q20" i="16" s="1"/>
  <c r="T18" i="16"/>
  <c r="U18" i="16" s="1"/>
  <c r="U23" i="16"/>
  <c r="U19" i="16"/>
  <c r="R20" i="16"/>
  <c r="R19" i="16"/>
  <c r="Q42" i="16"/>
  <c r="Q43" i="16" s="1"/>
  <c r="Q45" i="16" s="1"/>
  <c r="Q23" i="16"/>
  <c r="E23" i="16"/>
  <c r="D18" i="16"/>
  <c r="E18" i="16" s="1"/>
  <c r="E19" i="16" s="1"/>
  <c r="E20" i="16" s="1"/>
  <c r="I35" i="16"/>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U20" i="16" l="1"/>
  <c r="V20" i="16"/>
  <c r="V19" i="16"/>
  <c r="F20" i="16"/>
  <c r="F19" i="16"/>
  <c r="I20" i="16"/>
  <c r="K61" i="8"/>
  <c r="L62" i="8" s="1"/>
  <c r="W7" i="8" s="1"/>
  <c r="J20" i="16"/>
  <c r="K58" i="8"/>
  <c r="L67" i="8"/>
  <c r="Y8" i="8" s="1"/>
  <c r="U42" i="20"/>
  <c r="U38" i="20"/>
  <c r="U34" i="20"/>
  <c r="U30" i="20"/>
  <c r="U29" i="20" s="1"/>
  <c r="U15" i="20"/>
  <c r="U37" i="20"/>
  <c r="U33" i="20"/>
  <c r="U44" i="20"/>
  <c r="U40" i="20"/>
  <c r="U32" i="20"/>
  <c r="U31" i="20" s="1"/>
  <c r="U28" i="20"/>
  <c r="U22" i="20"/>
  <c r="U17" i="20"/>
  <c r="U43" i="20"/>
  <c r="U39" i="20"/>
  <c r="U35" i="20"/>
  <c r="U27" i="20"/>
  <c r="U47" i="20" s="1"/>
  <c r="U21" i="20"/>
  <c r="U16" i="20"/>
  <c r="R48" i="11"/>
  <c r="U16" i="22"/>
  <c r="T31" i="11"/>
  <c r="V33" i="11"/>
  <c r="W15" i="22" s="1"/>
  <c r="N20" i="16"/>
  <c r="M20" i="16"/>
  <c r="L61" i="8" s="1"/>
  <c r="W8"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8" i="20" l="1"/>
  <c r="U18" i="20"/>
  <c r="U19" i="20" s="1"/>
  <c r="U36" i="20"/>
  <c r="U41" i="20"/>
  <c r="U26" i="20"/>
  <c r="U46" i="20" s="1"/>
  <c r="U45" i="20" s="1"/>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26" i="20" l="1"/>
  <c r="I31" i="20"/>
  <c r="I18" i="20"/>
  <c r="I19" i="20" s="1"/>
  <c r="I36" i="20"/>
  <c r="I48" i="20"/>
  <c r="I41" i="20"/>
  <c r="Q41" i="20"/>
  <c r="Q31" i="20"/>
  <c r="Q48" i="20"/>
  <c r="Q18" i="20"/>
  <c r="Q19" i="20" s="1"/>
  <c r="Q36" i="20"/>
  <c r="Q47" i="20"/>
  <c r="M36" i="20"/>
  <c r="T48" i="1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G48" i="11" s="1"/>
  <c r="AI16" i="22"/>
  <c r="AH31" i="11"/>
  <c r="AJ33"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<sst xmlns="http://schemas.openxmlformats.org/spreadsheetml/2006/main" count="2679" uniqueCount="1125">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</sst>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720.30140335170802</c:v>
                </c:pt>
                <c:pt idx="3">
                  <c:v>0</c:v>
                </c:pt>
                <c:pt idx="4">
                  <c:v>1283.6184102356206</c:v>
                </c:pt>
                <c:pt idx="5">
                  <c:v>0</c:v>
                </c:pt>
                <c:pt idx="6">
                  <c:v>0</c:v>
                </c:pt>
                <c:pt idx="7">
                  <c:v>0</c:v>
                </c:pt>
                <c:pt idx="8">
                  <c:v>184.79730023814099</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718.00012091288465</c:v>
                </c:pt>
                <c:pt idx="3">
                  <c:v>0</c:v>
                </c:pt>
                <c:pt idx="4">
                  <c:v>1256.1221184935798</c:v>
                </c:pt>
                <c:pt idx="5">
                  <c:v>0</c:v>
                </c:pt>
                <c:pt idx="6">
                  <c:v>0</c:v>
                </c:pt>
                <c:pt idx="7">
                  <c:v>0</c:v>
                </c:pt>
                <c:pt idx="8">
                  <c:v>312.31035490169035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118.96751469307694</c:v>
                </c:pt>
                <c:pt idx="3">
                  <c:v>0</c:v>
                </c:pt>
                <c:pt idx="4">
                  <c:v>78.791799154235648</c:v>
                </c:pt>
                <c:pt idx="5">
                  <c:v>0</c:v>
                </c:pt>
                <c:pt idx="6">
                  <c:v>0</c:v>
                </c:pt>
                <c:pt idx="7">
                  <c:v>0</c:v>
                </c:pt>
                <c:pt idx="8">
                  <c:v>70.297320257411499</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118.58742678670927</c:v>
                </c:pt>
                <c:pt idx="3">
                  <c:v>0</c:v>
                </c:pt>
                <c:pt idx="4">
                  <c:v>77.104006053770945</c:v>
                </c:pt>
                <c:pt idx="5">
                  <c:v>0</c:v>
                </c:pt>
                <c:pt idx="6">
                  <c:v>0</c:v>
                </c:pt>
                <c:pt idx="7">
                  <c:v>0</c:v>
                </c:pt>
                <c:pt idx="8" formatCode="0">
                  <c:v>118.8035810584785</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250.80128205128204</c:v>
                </c:pt>
                <c:pt idx="3">
                  <c:v>0</c:v>
                </c:pt>
                <c:pt idx="4">
                  <c:v>255.47245592948718</c:v>
                </c:pt>
                <c:pt idx="5">
                  <c:v>0</c:v>
                </c:pt>
                <c:pt idx="6">
                  <c:v>0</c:v>
                </c:pt>
                <c:pt idx="7">
                  <c:v>0</c:v>
                </c:pt>
                <c:pt idx="8">
                  <c:v>87.455000000000013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-34.468652642120048</c:v>
                </c:pt>
                <c:pt idx="1">
                  <c:v>-95.036743664452246</c:v>
                </c:pt>
                <c:pt idx="2">
                  <c:v>-149.99725295308576</c:v>
                </c:pt>
                <c:pt idx="3">
                  <c:v>-151.39783581718504</c:v>
                </c:pt>
                <c:pt idx="4">
                  <c:v>-152.70503016745263</c:v>
                </c:pt>
                <c:pt idx="5">
                  <c:v>-153.91839707787355</c:v>
                </c:pt>
                <c:pt idx="6">
                  <c:v>-155.0374955594805</c:v>
                </c:pt>
                <c:pt idx="7">
                  <c:v>-156.06188255065808</c:v>
                </c:pt>
                <c:pt idx="8">
                  <c:v>-156.99111290740126</c:v>
                </c:pt>
                <c:pt idx="9">
                  <c:v>-157.82473939352818</c:v>
                </c:pt>
                <c:pt idx="10">
                  <c:v>-158.56231267084695</c:v>
                </c:pt>
                <c:pt idx="11">
                  <c:v>-159.20338128927619</c:v>
                </c:pt>
                <c:pt idx="12">
                  <c:v>-159.74749167691911</c:v>
                </c:pt>
                <c:pt idx="13">
                  <c:v>-160.19418813009099</c:v>
                </c:pt>
                <c:pt idx="14">
                  <c:v>-160.54301280329986</c:v>
                </c:pt>
                <c:pt idx="15">
                  <c:v>-160.79350569917986</c:v>
                </c:pt>
                <c:pt idx="16">
                  <c:v>-160.94520465837755</c:v>
                </c:pt>
                <c:pt idx="17">
                  <c:v>-160.99764534939052</c:v>
                </c:pt>
                <c:pt idx="18">
                  <c:v>-160.96643784930927</c:v>
                </c:pt>
                <c:pt idx="19">
                  <c:v>-160.86910264680429</c:v>
                </c:pt>
                <c:pt idx="20">
                  <c:v>-160.7053289416742</c:v>
                </c:pt>
                <c:pt idx="21">
                  <c:v>-160.47480447295666</c:v>
                </c:pt>
                <c:pt idx="22">
                  <c:v>-160.17721551206282</c:v>
                </c:pt>
                <c:pt idx="23">
                  <c:v>-159.81224685587941</c:v>
                </c:pt>
                <c:pt idx="24">
                  <c:v>-159.37958181983862</c:v>
                </c:pt>
                <c:pt idx="25">
                  <c:v>-158.87890223095508</c:v>
                </c:pt>
                <c:pt idx="26">
                  <c:v>-158.30988842083045</c:v>
                </c:pt>
                <c:pt idx="27">
                  <c:v>-157.67221921862489</c:v>
                </c:pt>
                <c:pt idx="28">
                  <c:v>-156.96557194399563</c:v>
                </c:pt>
                <c:pt idx="29">
                  <c:v>-156.18962240000226</c:v>
                </c:pt>
                <c:pt idx="30">
                  <c:v>-155.34404486597879</c:v>
                </c:pt>
                <c:pt idx="31">
                  <c:v>-154.42851209037207</c:v>
                </c:pt>
                <c:pt idx="32">
                  <c:v>-153.44269528354667</c:v>
                </c:pt>
                <c:pt idx="33">
                  <c:v>-152.38626411055583</c:v>
                </c:pt>
                <c:pt idx="34">
                  <c:v>-151.25888668387861</c:v>
                </c:pt>
                <c:pt idx="35">
                  <c:v>-150.06022955612266</c:v>
                </c:pt>
                <c:pt idx="36">
                  <c:v>-148.78995771269291</c:v>
                </c:pt>
                <c:pt idx="37">
                  <c:v>-147.4477345644257</c:v>
                </c:pt>
                <c:pt idx="38">
                  <c:v>-146.0332219401883</c:v>
                </c:pt>
                <c:pt idx="39">
                  <c:v>-144.54608007944364</c:v>
                </c:pt>
                <c:pt idx="40">
                  <c:v>-142.98596762478013</c:v>
                </c:pt>
                <c:pt idx="41">
                  <c:v>-141.35254161440636</c:v>
                </c:pt>
                <c:pt idx="42">
                  <c:v>-139.64545747461051</c:v>
                </c:pt>
                <c:pt idx="43">
                  <c:v>-137.86436901218428</c:v>
                </c:pt>
                <c:pt idx="44">
                  <c:v>-136.00892840681129</c:v>
                </c:pt>
                <c:pt idx="45">
                  <c:v>-134.07878620341972</c:v>
                </c:pt>
                <c:pt idx="46">
                  <c:v>-132.07359130449888</c:v>
                </c:pt>
                <c:pt idx="47">
                  <c:v>-129.99299096237976</c:v>
                </c:pt>
                <c:pt idx="48">
                  <c:v>-127.83663077147934</c:v>
                </c:pt>
                <c:pt idx="49">
                  <c:v>-125.60415466050834</c:v>
                </c:pt>
                <c:pt idx="50">
                  <c:v>-123.29520488464244</c:v>
                </c:pt>
                <c:pt idx="51">
                  <c:v>-120.90942201765664</c:v>
                </c:pt>
                <c:pt idx="52">
                  <c:v>-118.44644494402264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3.5646214606188695</c:v>
                </c:pt>
                <c:pt idx="1">
                  <c:v>-2.5332832440562822</c:v>
                </c:pt>
                <c:pt idx="2">
                  <c:v>-9.2764178216568496</c:v>
                </c:pt>
                <c:pt idx="3">
                  <c:v>-23.741678546625081</c:v>
                </c:pt>
                <c:pt idx="4">
                  <c:v>-37.735692557369497</c:v>
                </c:pt>
                <c:pt idx="5">
                  <c:v>-51.25796909299774</c:v>
                </c:pt>
                <c:pt idx="6">
                  <c:v>-64.308015086041237</c:v>
                </c:pt>
                <c:pt idx="7">
                  <c:v>-76.885335151614314</c:v>
                </c:pt>
                <c:pt idx="8">
                  <c:v>-88.98943157652235</c:v>
                </c:pt>
                <c:pt idx="9">
                  <c:v>-100.61980430831868</c:v>
                </c:pt>
                <c:pt idx="10">
                  <c:v>-111.77595094431018</c:v>
                </c:pt>
                <c:pt idx="11">
                  <c:v>-122.45736672051103</c:v>
                </c:pt>
                <c:pt idx="12">
                  <c:v>-132.6635445005447</c:v>
                </c:pt>
                <c:pt idx="13">
                  <c:v>-142.39397476449369</c:v>
                </c:pt>
                <c:pt idx="14">
                  <c:v>-151.64814559769687</c:v>
                </c:pt>
                <c:pt idx="15">
                  <c:v>-160.42554267949421</c:v>
                </c:pt>
                <c:pt idx="16">
                  <c:v>-168.7256492719186</c:v>
                </c:pt>
                <c:pt idx="17">
                  <c:v>-176.54794620833445</c:v>
                </c:pt>
                <c:pt idx="18">
                  <c:v>-183.90854628793434</c:v>
                </c:pt>
                <c:pt idx="19">
                  <c:v>-190.82553882483464</c:v>
                </c:pt>
                <c:pt idx="20">
                  <c:v>-197.29856296224918</c:v>
                </c:pt>
                <c:pt idx="21">
                  <c:v>-203.32725614736481</c:v>
                </c:pt>
                <c:pt idx="22">
                  <c:v>-208.91125412337024</c:v>
                </c:pt>
                <c:pt idx="23">
                  <c:v>-206.71360085983514</c:v>
                </c:pt>
                <c:pt idx="24">
                  <c:v>-204.43734823258029</c:v>
                </c:pt>
                <c:pt idx="25">
                  <c:v>-202.08212682459623</c:v>
                </c:pt>
                <c:pt idx="26">
                  <c:v>-199.64756548261352</c:v>
                </c:pt>
                <c:pt idx="27">
                  <c:v>-197.13329130894235</c:v>
                </c:pt>
                <c:pt idx="28">
                  <c:v>-194.53892965327381</c:v>
                </c:pt>
                <c:pt idx="29">
                  <c:v>-191.8641041044425</c:v>
                </c:pt>
                <c:pt idx="30">
                  <c:v>-189.10843648215055</c:v>
                </c:pt>
                <c:pt idx="31">
                  <c:v>-186.2715468286527</c:v>
                </c:pt>
                <c:pt idx="32">
                  <c:v>-183.35305340040227</c:v>
                </c:pt>
                <c:pt idx="33">
                  <c:v>-180.35257265965797</c:v>
                </c:pt>
                <c:pt idx="34">
                  <c:v>-177.26971926605103</c:v>
                </c:pt>
                <c:pt idx="35">
                  <c:v>-174.104106068113</c:v>
                </c:pt>
                <c:pt idx="36">
                  <c:v>-170.85534409476352</c:v>
                </c:pt>
                <c:pt idx="37">
                  <c:v>-167.52304254675818</c:v>
                </c:pt>
                <c:pt idx="38">
                  <c:v>-164.10680878809609</c:v>
                </c:pt>
                <c:pt idx="39">
                  <c:v>-160.60624833738717</c:v>
                </c:pt>
                <c:pt idx="40">
                  <c:v>-157.02096485917878</c:v>
                </c:pt>
                <c:pt idx="41">
                  <c:v>-153.35056015524168</c:v>
                </c:pt>
                <c:pt idx="42">
                  <c:v>-149.59463415581496</c:v>
                </c:pt>
                <c:pt idx="43">
                  <c:v>-145.75278491080979</c:v>
                </c:pt>
                <c:pt idx="44">
                  <c:v>-141.82460858097198</c:v>
                </c:pt>
                <c:pt idx="45">
                  <c:v>-137.80969942900282</c:v>
                </c:pt>
                <c:pt idx="46">
                  <c:v>-133.70764981063826</c:v>
                </c:pt>
                <c:pt idx="47">
                  <c:v>-129.51805016568625</c:v>
                </c:pt>
                <c:pt idx="48">
                  <c:v>-125.24048900902184</c:v>
                </c:pt>
                <c:pt idx="49">
                  <c:v>-120.87455292153999</c:v>
                </c:pt>
                <c:pt idx="50">
                  <c:v>-116.41982654106585</c:v>
                </c:pt>
                <c:pt idx="51">
                  <c:v>-111.87589255322234</c:v>
                </c:pt>
                <c:pt idx="52">
                  <c:v>-107.24233168225486</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-37.825899409462536</c:v>
                </c:pt>
                <c:pt idx="1">
                  <c:v>-104.29332249736989</c:v>
                </c:pt>
                <c:pt idx="2">
                  <c:v>-164.60698539071629</c:v>
                </c:pt>
                <c:pt idx="3">
                  <c:v>-166.14398502577885</c:v>
                </c:pt>
                <c:pt idx="4">
                  <c:v>-167.57850010576252</c:v>
                </c:pt>
                <c:pt idx="5">
                  <c:v>-168.91004895325844</c:v>
                </c:pt>
                <c:pt idx="6">
                  <c:v>-170.1381476269739</c:v>
                </c:pt>
                <c:pt idx="7">
                  <c:v>-171.26230991109216</c:v>
                </c:pt>
                <c:pt idx="8">
                  <c:v>-172.28204730458211</c:v>
                </c:pt>
                <c:pt idx="9">
                  <c:v>-173.19686901045779</c:v>
                </c:pt>
                <c:pt idx="10">
                  <c:v>-174.00628192498741</c:v>
                </c:pt>
                <c:pt idx="11">
                  <c:v>-174.70979062685166</c:v>
                </c:pt>
                <c:pt idx="12">
                  <c:v>-175.30689736625098</c:v>
                </c:pt>
                <c:pt idx="13">
                  <c:v>-175.79710205396182</c:v>
                </c:pt>
                <c:pt idx="14">
                  <c:v>-176.17990225034123</c:v>
                </c:pt>
                <c:pt idx="15">
                  <c:v>-176.45479315427994</c:v>
                </c:pt>
                <c:pt idx="16">
                  <c:v>-176.62126759210349</c:v>
                </c:pt>
                <c:pt idx="17">
                  <c:v>-176.67881600642113</c:v>
                </c:pt>
                <c:pt idx="18">
                  <c:v>-176.64456889583195</c:v>
                </c:pt>
                <c:pt idx="19">
                  <c:v>-176.53775324460298</c:v>
                </c:pt>
                <c:pt idx="20">
                  <c:v>-176.35802798059322</c:v>
                </c:pt>
                <c:pt idx="21">
                  <c:v>-176.1050504286226</c:v>
                </c:pt>
                <c:pt idx="22">
                  <c:v>-175.77847630293769</c:v>
                </c:pt>
                <c:pt idx="23">
                  <c:v>-175.37795969964202</c:v>
                </c:pt>
                <c:pt idx="24">
                  <c:v>-174.90315308909084</c:v>
                </c:pt>
                <c:pt idx="25">
                  <c:v>-174.35370730825005</c:v>
                </c:pt>
                <c:pt idx="26">
                  <c:v>-173.72927155301929</c:v>
                </c:pt>
                <c:pt idx="27">
                  <c:v>-173.02949337051891</c:v>
                </c:pt>
                <c:pt idx="28">
                  <c:v>-172.25401865134077</c:v>
                </c:pt>
                <c:pt idx="29">
                  <c:v>-171.40249162176247</c:v>
                </c:pt>
                <c:pt idx="30">
                  <c:v>-170.47455483592512</c:v>
                </c:pt>
                <c:pt idx="31">
                  <c:v>-169.4698491679743</c:v>
                </c:pt>
                <c:pt idx="32">
                  <c:v>-168.3880138041641</c:v>
                </c:pt>
                <c:pt idx="33">
                  <c:v>-167.22868623492397</c:v>
                </c:pt>
                <c:pt idx="34">
                  <c:v>-165.99150224688839</c:v>
                </c:pt>
                <c:pt idx="35">
                  <c:v>-164.676095914889</c:v>
                </c:pt>
                <c:pt idx="36">
                  <c:v>-163.28209959390921</c:v>
                </c:pt>
                <c:pt idx="37">
                  <c:v>-161.80914391100077</c:v>
                </c:pt>
                <c:pt idx="38">
                  <c:v>-160.25685775716263</c:v>
                </c:pt>
                <c:pt idx="39">
                  <c:v>-158.62486827918144</c:v>
                </c:pt>
                <c:pt idx="40">
                  <c:v>-156.91280087143372</c:v>
                </c:pt>
                <c:pt idx="41">
                  <c:v>-155.12027916764956</c:v>
                </c:pt>
                <c:pt idx="42">
                  <c:v>-153.24692503263759</c:v>
                </c:pt>
                <c:pt idx="43">
                  <c:v>-151.29235855397104</c:v>
                </c:pt>
                <c:pt idx="44">
                  <c:v>-149.25619803363472</c:v>
                </c:pt>
                <c:pt idx="45">
                  <c:v>-147.1380599796328</c:v>
                </c:pt>
                <c:pt idx="46">
                  <c:v>-144.93755909755706</c:v>
                </c:pt>
                <c:pt idx="47">
                  <c:v>-142.65430828211552</c:v>
                </c:pt>
                <c:pt idx="48">
                  <c:v>-140.2879186086214</c:v>
                </c:pt>
                <c:pt idx="49">
                  <c:v>-137.83799932444182</c:v>
                </c:pt>
                <c:pt idx="50">
                  <c:v>-135.30415784040659</c:v>
                </c:pt>
                <c:pt idx="51">
                  <c:v>-132.68599972217635</c:v>
                </c:pt>
                <c:pt idx="52">
                  <c:v>-129.98312868157041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3.7806375211323728</c:v>
                </c:pt>
                <c:pt idx="1">
                  <c:v>-2.6868002086460927</c:v>
                </c:pt>
                <c:pt idx="2">
                  <c:v>-9.8385687416492544</c:v>
                </c:pt>
                <c:pt idx="3">
                  <c:v>-25.180424266550563</c:v>
                </c:pt>
                <c:pt idx="4">
                  <c:v>-40.022475526346092</c:v>
                </c:pt>
                <c:pt idx="5">
                  <c:v>-54.364202020033403</c:v>
                </c:pt>
                <c:pt idx="6">
                  <c:v>-68.205080800255331</c:v>
                </c:pt>
                <c:pt idx="7">
                  <c:v>-81.54458646180214</c:v>
                </c:pt>
                <c:pt idx="8">
                  <c:v>-94.382191130059596</c:v>
                </c:pt>
                <c:pt idx="9">
                  <c:v>-106.71736444940279</c:v>
                </c:pt>
                <c:pt idx="10">
                  <c:v>-118.54957357153538</c:v>
                </c:pt>
                <c:pt idx="11">
                  <c:v>-129.87828314377398</c:v>
                </c:pt>
                <c:pt idx="12">
                  <c:v>-140.7029552972777</c:v>
                </c:pt>
                <c:pt idx="13">
                  <c:v>-151.02304963522198</c:v>
                </c:pt>
                <c:pt idx="14">
                  <c:v>-160.83802322091728</c:v>
                </c:pt>
                <c:pt idx="15">
                  <c:v>-170.14733056587153</c:v>
                </c:pt>
                <c:pt idx="16">
                  <c:v>-178.95042361779682</c:v>
                </c:pt>
                <c:pt idx="17">
                  <c:v>-187.24675174855946</c:v>
                </c:pt>
                <c:pt idx="18">
                  <c:v>-195.05340419298309</c:v>
                </c:pt>
                <c:pt idx="19">
                  <c:v>-202.38956647761955</c:v>
                </c:pt>
                <c:pt idx="20">
                  <c:v>-209.2548558777614</c:v>
                </c:pt>
                <c:pt idx="21">
                  <c:v>-215.64888786989505</c:v>
                </c:pt>
                <c:pt idx="22">
                  <c:v>-221.57127612324641</c:v>
                </c:pt>
                <c:pt idx="23">
                  <c:v>-219.24044507194108</c:v>
                </c:pt>
                <c:pt idx="24">
                  <c:v>-216.8262515354746</c:v>
                </c:pt>
                <c:pt idx="25">
                  <c:v>-214.32830371016669</c:v>
                </c:pt>
                <c:pt idx="26">
                  <c:v>-211.74620795085983</c:v>
                </c:pt>
                <c:pt idx="27">
                  <c:v>-209.07956876226419</c:v>
                </c:pt>
                <c:pt idx="28">
                  <c:v>-206.32798879026211</c:v>
                </c:pt>
                <c:pt idx="29">
                  <c:v>-203.49106881317161</c:v>
                </c:pt>
                <c:pt idx="30">
                  <c:v>-200.56840773296875</c:v>
                </c:pt>
                <c:pt idx="31">
                  <c:v>-197.55960256646893</c:v>
                </c:pt>
                <c:pt idx="32">
                  <c:v>-194.46424843646653</c:v>
                </c:pt>
                <c:pt idx="33">
                  <c:v>-191.28193856283312</c:v>
                </c:pt>
                <c:pt idx="34">
                  <c:v>-188.01226425357359</c:v>
                </c:pt>
                <c:pt idx="35">
                  <c:v>-184.65481489584053</c:v>
                </c:pt>
                <c:pt idx="36">
                  <c:v>-181.2091779469061</c:v>
                </c:pt>
                <c:pt idx="37">
                  <c:v>-177.67493892509162</c:v>
                </c:pt>
                <c:pt idx="38">
                  <c:v>-174.05168140065462</c:v>
                </c:pt>
                <c:pt idx="39">
                  <c:v>-170.33898698663273</c:v>
                </c:pt>
                <c:pt idx="40">
                  <c:v>-166.53643532964492</c:v>
                </c:pt>
                <c:pt idx="41">
                  <c:v>-162.64360410064924</c:v>
                </c:pt>
                <c:pt idx="42">
                  <c:v>-158.66006898565726</c:v>
                </c:pt>
                <c:pt idx="43">
                  <c:v>-154.58540367640478</c:v>
                </c:pt>
                <c:pt idx="44">
                  <c:v>-150.4191798609788</c:v>
                </c:pt>
                <c:pt idx="45">
                  <c:v>-146.1609672144003</c:v>
                </c:pt>
                <c:pt idx="46">
                  <c:v>-141.81033338916285</c:v>
                </c:pt>
                <c:pt idx="47">
                  <c:v>-137.36684400572676</c:v>
                </c:pt>
                <c:pt idx="48">
                  <c:v>-132.8300626429685</c:v>
                </c:pt>
                <c:pt idx="49">
                  <c:v>-128.19955082858525</c:v>
                </c:pt>
                <c:pt idx="50">
                  <c:v>-123.47486802945437</c:v>
                </c:pt>
                <c:pt idx="51">
                  <c:v>-118.65557164194756</c:v>
                </c:pt>
                <c:pt idx="52">
                  <c:v>-113.74121698219945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se%20Ferramenta%203%20-%20Algoritmo%20RT%201%20-%2029%20May%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N3">
            <v>250</v>
          </cell>
        </row>
      </sheetData>
      <sheetData sheetId="12"/>
      <sheetData sheetId="13"/>
      <sheetData sheetId="14"/>
      <sheetData sheetId="15"/>
      <sheetData sheetId="16"/>
      <sheetData sheetId="17"/>
      <sheetData sheetId="18"/>
      <sheetData sheetId="19"/>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1" t="s">
        <v>1000</v>
      </c>
      <c r="E2" s="2132"/>
      <c r="F2" s="2133"/>
      <c r="G2" s="434"/>
      <c r="H2" s="2134" t="s">
        <v>5</v>
      </c>
      <c r="I2" s="2135"/>
      <c r="J2" s="2136"/>
      <c r="K2" s="434"/>
      <c r="L2" s="434"/>
      <c r="M2" s="434"/>
      <c r="N2" s="434"/>
      <c r="O2" s="983"/>
      <c r="P2" s="983" t="s">
        <v>6</v>
      </c>
      <c r="Q2" s="983"/>
      <c r="R2" s="983"/>
      <c r="S2" s="983"/>
      <c r="T2" s="983"/>
      <c r="U2" s="983"/>
      <c r="V2" s="3"/>
      <c r="W2" s="3"/>
      <c r="X2" s="3"/>
      <c r="Y2" s="3"/>
    </row>
    <row r="3" spans="1:25" ht="18" customHeight="1" x14ac:dyDescent="0.3">
      <c r="A3" s="85"/>
      <c r="B3" s="434"/>
      <c r="C3" s="531" t="s">
        <v>486</v>
      </c>
      <c r="D3" s="2131" t="s">
        <v>1001</v>
      </c>
      <c r="E3" s="2132"/>
      <c r="F3" s="2133"/>
      <c r="G3" s="434"/>
      <c r="H3" s="2137"/>
      <c r="I3" s="2138"/>
      <c r="J3" s="213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0" t="s">
        <v>473</v>
      </c>
      <c r="M4" s="2121"/>
      <c r="N4" s="2121"/>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2" t="str">
        <f>Apresentação!I2</f>
        <v>RC-RSU V.1.0 - 15/10/2020</v>
      </c>
      <c r="M5" s="2122"/>
      <c r="N5" s="2122"/>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0.75316389575239862</v>
      </c>
      <c r="F9" s="602">
        <f>(E10)*1000/E8</f>
        <v>0.60739023850999885</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'[1]Coef. Algoritmos'!$N$3</f>
        <v>250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250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27" t="s">
        <v>931</v>
      </c>
      <c r="D16" s="2128"/>
      <c r="E16" s="2128"/>
      <c r="F16" s="2128"/>
      <c r="G16" s="2128"/>
      <c r="H16" s="2128"/>
      <c r="I16" s="2128"/>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0" t="s">
        <v>16</v>
      </c>
      <c r="D23" s="2142" t="s">
        <v>736</v>
      </c>
      <c r="E23" s="2116"/>
      <c r="F23" s="2116"/>
      <c r="G23" s="2115" t="s">
        <v>830</v>
      </c>
      <c r="H23" s="2115" t="s">
        <v>17</v>
      </c>
      <c r="I23" s="2116"/>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16"/>
      <c r="D24" s="2141" t="s">
        <v>18</v>
      </c>
      <c r="E24" s="2141" t="s">
        <v>19</v>
      </c>
      <c r="F24" s="2141" t="s">
        <v>20</v>
      </c>
      <c r="G24" s="2116"/>
      <c r="H24" s="2116"/>
      <c r="I24" s="2116"/>
      <c r="J24" s="529"/>
      <c r="K24" s="547"/>
      <c r="L24" s="529"/>
      <c r="M24" s="529"/>
      <c r="N24" s="434"/>
      <c r="O24" s="983"/>
      <c r="P24" s="983"/>
      <c r="Q24" s="983"/>
      <c r="R24" s="983"/>
      <c r="S24" s="983"/>
      <c r="T24" s="983"/>
      <c r="U24" s="983"/>
      <c r="V24" s="3"/>
      <c r="W24" s="7"/>
      <c r="X24" s="7"/>
      <c r="Y24" s="7"/>
    </row>
    <row r="25" spans="1:25" ht="30.45" customHeight="1" x14ac:dyDescent="0.3">
      <c r="A25" s="85"/>
      <c r="B25" s="434"/>
      <c r="C25" s="2116"/>
      <c r="D25" s="2116"/>
      <c r="E25" s="2116"/>
      <c r="F25" s="2116"/>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121</v>
      </c>
      <c r="H26" s="2123">
        <f>E26+E27</f>
        <v>51.4</v>
      </c>
      <c r="I26" s="2125"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7.5</v>
      </c>
      <c r="H27" s="2124"/>
      <c r="I27" s="2126"/>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32.75</v>
      </c>
      <c r="H28" s="2123">
        <f>SUM(E28:E33)</f>
        <v>31.900000000000002</v>
      </c>
      <c r="I28" s="2125"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22.25</v>
      </c>
      <c r="H29" s="2124"/>
      <c r="I29" s="2126"/>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11.5</v>
      </c>
      <c r="H30" s="2124"/>
      <c r="I30" s="2126"/>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6</v>
      </c>
      <c r="H31" s="2124"/>
      <c r="I31" s="2126"/>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5.75</v>
      </c>
      <c r="H32" s="2124"/>
      <c r="I32" s="2126"/>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1.5</v>
      </c>
      <c r="H33" s="2124"/>
      <c r="I33" s="2126"/>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11.125</v>
      </c>
      <c r="H34" s="2123">
        <f>SUM(E34:E37)</f>
        <v>10.14</v>
      </c>
      <c r="I34" s="2130"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2.4</v>
      </c>
      <c r="H35" s="2124"/>
      <c r="I35" s="2126"/>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10</v>
      </c>
      <c r="H36" s="2124"/>
      <c r="I36" s="2126"/>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1.825</v>
      </c>
      <c r="H37" s="2124"/>
      <c r="I37" s="2126"/>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3">
        <f>SUM(E38:E39)</f>
        <v>6.5600000000000023</v>
      </c>
      <c r="I38" s="2130"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16.400000000000006</v>
      </c>
      <c r="H39" s="2124"/>
      <c r="I39" s="2126"/>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250</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250</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250</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17" t="s">
        <v>48</v>
      </c>
      <c r="D51" s="2113" t="s">
        <v>508</v>
      </c>
      <c r="E51" s="2114"/>
      <c r="F51" s="2114"/>
      <c r="G51" s="2114"/>
      <c r="H51" s="2114"/>
      <c r="I51" s="2114"/>
      <c r="J51" s="2114"/>
      <c r="K51" s="2114"/>
      <c r="L51" s="2114"/>
      <c r="M51" s="2114"/>
      <c r="N51" s="2114"/>
      <c r="O51" s="983"/>
      <c r="P51" s="983"/>
      <c r="Q51" s="983"/>
      <c r="R51" s="983"/>
      <c r="S51" s="983"/>
      <c r="T51" s="983"/>
      <c r="U51" s="983"/>
      <c r="V51" s="3"/>
      <c r="W51" s="3"/>
      <c r="X51" s="3"/>
      <c r="Y51" s="3"/>
    </row>
    <row r="52" spans="1:25" ht="18" customHeight="1" x14ac:dyDescent="0.3">
      <c r="A52" s="85"/>
      <c r="B52" s="434"/>
      <c r="C52" s="2118"/>
      <c r="D52" s="2111" t="s">
        <v>25</v>
      </c>
      <c r="E52" s="2118"/>
      <c r="F52" s="2119" t="s">
        <v>49</v>
      </c>
      <c r="G52" s="2111" t="s">
        <v>475</v>
      </c>
      <c r="H52" s="2118"/>
      <c r="I52" s="2111" t="s">
        <v>476</v>
      </c>
      <c r="J52" s="2111" t="s">
        <v>52</v>
      </c>
      <c r="K52" s="2118"/>
      <c r="L52" s="2111" t="s">
        <v>477</v>
      </c>
      <c r="M52" s="2112"/>
      <c r="N52" s="2129" t="s">
        <v>53</v>
      </c>
      <c r="O52" s="983"/>
      <c r="P52" s="983"/>
      <c r="Q52" s="983"/>
      <c r="R52" s="983"/>
      <c r="S52" s="983"/>
      <c r="T52" s="983"/>
      <c r="U52" s="983"/>
      <c r="V52" s="3"/>
      <c r="W52" s="3"/>
      <c r="X52" s="3"/>
      <c r="Y52" s="3"/>
    </row>
    <row r="53" spans="1:25" ht="31.2" customHeight="1" x14ac:dyDescent="0.3">
      <c r="A53" s="85"/>
      <c r="B53" s="434"/>
      <c r="C53" s="2118"/>
      <c r="D53" s="499" t="s">
        <v>54</v>
      </c>
      <c r="E53" s="499" t="s">
        <v>55</v>
      </c>
      <c r="F53" s="2118"/>
      <c r="G53" s="499" t="s">
        <v>56</v>
      </c>
      <c r="H53" s="499" t="s">
        <v>57</v>
      </c>
      <c r="I53" s="2118"/>
      <c r="J53" s="499" t="s">
        <v>58</v>
      </c>
      <c r="K53" s="499" t="s">
        <v>510</v>
      </c>
      <c r="L53" s="499" t="s">
        <v>478</v>
      </c>
      <c r="M53" s="500" t="s">
        <v>509</v>
      </c>
      <c r="N53" s="211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121</v>
      </c>
      <c r="E56" s="104">
        <f>G27-E55</f>
        <v>7.5</v>
      </c>
      <c r="F56" s="104">
        <f>G28-F54</f>
        <v>32.75</v>
      </c>
      <c r="G56" s="104">
        <f>G29-G54</f>
        <v>22.25</v>
      </c>
      <c r="H56" s="104">
        <f>G30-H54</f>
        <v>11.5</v>
      </c>
      <c r="I56" s="104">
        <f>G31-I54</f>
        <v>6</v>
      </c>
      <c r="J56" s="104">
        <f>G32-J54</f>
        <v>5.75</v>
      </c>
      <c r="K56" s="104">
        <f>G33-K54</f>
        <v>1.5</v>
      </c>
      <c r="L56" s="104">
        <f>SUM(G34:G37)</f>
        <v>25.349999999999998</v>
      </c>
      <c r="M56" s="104">
        <f>SUM(G38:G39)</f>
        <v>16.400000000000006</v>
      </c>
      <c r="N56" s="104">
        <f>SUM(D56:M56)</f>
        <v>250</v>
      </c>
      <c r="O56" s="983"/>
      <c r="P56" s="983"/>
      <c r="Q56" s="983"/>
      <c r="R56" s="983"/>
      <c r="S56" s="983"/>
      <c r="T56" s="983"/>
      <c r="U56" s="983"/>
      <c r="V56" s="3"/>
      <c r="W56" s="3"/>
      <c r="X56" s="3"/>
      <c r="Y56" s="3"/>
    </row>
    <row r="57" spans="1:25" ht="18" customHeight="1" x14ac:dyDescent="0.3">
      <c r="A57" s="85"/>
      <c r="B57" s="434"/>
      <c r="C57" s="233" t="s">
        <v>53</v>
      </c>
      <c r="D57" s="104">
        <f>SUM(D55:D56)</f>
        <v>121</v>
      </c>
      <c r="E57" s="104">
        <f>SUM(E55:E56)</f>
        <v>7.5</v>
      </c>
      <c r="F57" s="104">
        <f t="shared" ref="F57:L57" si="2">SUM(F54:F56)</f>
        <v>32.75</v>
      </c>
      <c r="G57" s="104">
        <f t="shared" si="2"/>
        <v>22.25</v>
      </c>
      <c r="H57" s="104">
        <f t="shared" si="2"/>
        <v>11.5</v>
      </c>
      <c r="I57" s="104">
        <f t="shared" si="2"/>
        <v>6</v>
      </c>
      <c r="J57" s="104">
        <f t="shared" si="2"/>
        <v>5.75</v>
      </c>
      <c r="K57" s="104">
        <f t="shared" si="2"/>
        <v>1.5</v>
      </c>
      <c r="L57" s="104">
        <f t="shared" si="2"/>
        <v>25.349999999999998</v>
      </c>
      <c r="M57" s="104">
        <f>M56</f>
        <v>16.400000000000006</v>
      </c>
      <c r="N57" s="104">
        <f>SUM(N54:N56)</f>
        <v>250</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4" t="str">
        <f>IF('R-Entrada'!D2&lt;&gt;0,'R-Entrada'!D2,"")</f>
        <v>CIRSOP - Consórcio RSU Oeste Paulista</v>
      </c>
      <c r="E2" s="215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4" t="str">
        <f>IF('R-Entrada'!D3&lt;&gt;0,'R-Entrada'!D3,"")</f>
        <v>Biodigestão c/ Prod. E. Elétrica</v>
      </c>
      <c r="E3" s="215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4" t="s">
        <v>737</v>
      </c>
      <c r="G5" s="2143"/>
      <c r="H5" s="2144"/>
      <c r="I5" s="434"/>
      <c r="J5" s="132"/>
      <c r="K5" s="584" t="s">
        <v>725</v>
      </c>
      <c r="L5" s="434"/>
      <c r="M5" s="434"/>
      <c r="N5" s="2120" t="s">
        <v>473</v>
      </c>
      <c r="O5" s="2152"/>
      <c r="P5" s="2152"/>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5"/>
      <c r="G6" s="2146"/>
      <c r="H6" s="2147"/>
      <c r="I6" s="532"/>
      <c r="J6" s="700"/>
      <c r="K6" s="584" t="s">
        <v>726</v>
      </c>
      <c r="L6" s="434"/>
      <c r="M6" s="434"/>
      <c r="N6" s="2122" t="str">
        <f>Apresentação!I2</f>
        <v>RC-RSU V.1.0 - 15/10/2020</v>
      </c>
      <c r="O6" s="2122"/>
      <c r="P6" s="2122"/>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3" t="s">
        <v>511</v>
      </c>
      <c r="C8" s="2153"/>
      <c r="D8" s="2153"/>
      <c r="E8" s="2153"/>
      <c r="F8" s="2153"/>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5" t="s">
        <v>48</v>
      </c>
      <c r="D10" s="2142" t="s">
        <v>508</v>
      </c>
      <c r="E10" s="2116"/>
      <c r="F10" s="2116"/>
      <c r="G10" s="2116"/>
      <c r="H10" s="2116"/>
      <c r="I10" s="2116"/>
      <c r="J10" s="2116"/>
      <c r="K10" s="2116"/>
      <c r="L10" s="2116"/>
      <c r="M10" s="2116"/>
      <c r="N10" s="2116"/>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16"/>
      <c r="D11" s="2142" t="s">
        <v>25</v>
      </c>
      <c r="E11" s="2116"/>
      <c r="F11" s="2115" t="s">
        <v>49</v>
      </c>
      <c r="G11" s="2142" t="s">
        <v>475</v>
      </c>
      <c r="H11" s="2116"/>
      <c r="I11" s="2142" t="s">
        <v>476</v>
      </c>
      <c r="J11" s="2142" t="s">
        <v>52</v>
      </c>
      <c r="K11" s="2116"/>
      <c r="L11" s="2142" t="s">
        <v>477</v>
      </c>
      <c r="M11" s="2116"/>
      <c r="N11" s="217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16"/>
      <c r="D12" s="503" t="s">
        <v>54</v>
      </c>
      <c r="E12" s="503" t="s">
        <v>55</v>
      </c>
      <c r="F12" s="2116"/>
      <c r="G12" s="503" t="s">
        <v>56</v>
      </c>
      <c r="H12" s="503" t="s">
        <v>57</v>
      </c>
      <c r="I12" s="2116"/>
      <c r="J12" s="503" t="s">
        <v>58</v>
      </c>
      <c r="K12" s="503" t="s">
        <v>510</v>
      </c>
      <c r="L12" s="503" t="s">
        <v>478</v>
      </c>
      <c r="M12" s="497" t="s">
        <v>509</v>
      </c>
      <c r="N12" s="2116"/>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121</v>
      </c>
      <c r="E15" s="122">
        <f>'R-Entrada'!E56</f>
        <v>7.5</v>
      </c>
      <c r="F15" s="122">
        <f>'R-Entrada'!F56</f>
        <v>32.75</v>
      </c>
      <c r="G15" s="122">
        <f>'R-Entrada'!G56</f>
        <v>22.25</v>
      </c>
      <c r="H15" s="122">
        <f>'R-Entrada'!H56</f>
        <v>11.5</v>
      </c>
      <c r="I15" s="122">
        <f>'R-Entrada'!I56</f>
        <v>6</v>
      </c>
      <c r="J15" s="122">
        <f>'R-Entrada'!J56</f>
        <v>5.75</v>
      </c>
      <c r="K15" s="122">
        <f>'R-Entrada'!K56</f>
        <v>1.5</v>
      </c>
      <c r="L15" s="122">
        <f>'R-Entrada'!L56</f>
        <v>25.349999999999998</v>
      </c>
      <c r="M15" s="122">
        <f>'R-Entrada'!M56</f>
        <v>16.400000000000006</v>
      </c>
      <c r="N15" s="98">
        <f>SUM(D15:M15)</f>
        <v>250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121</v>
      </c>
      <c r="E16" s="154">
        <f>SUM(E14:E15)</f>
        <v>7.5</v>
      </c>
      <c r="F16" s="154">
        <f t="shared" ref="F16:L16" si="0">SUM(F13:F15)</f>
        <v>32.75</v>
      </c>
      <c r="G16" s="154">
        <f t="shared" si="0"/>
        <v>22.25</v>
      </c>
      <c r="H16" s="154">
        <f t="shared" si="0"/>
        <v>11.5</v>
      </c>
      <c r="I16" s="154">
        <f t="shared" si="0"/>
        <v>6</v>
      </c>
      <c r="J16" s="154">
        <f t="shared" si="0"/>
        <v>5.75</v>
      </c>
      <c r="K16" s="154">
        <f t="shared" si="0"/>
        <v>1.5</v>
      </c>
      <c r="L16" s="154">
        <f t="shared" si="0"/>
        <v>25.349999999999998</v>
      </c>
      <c r="M16" s="154">
        <f>M15</f>
        <v>16.400000000000006</v>
      </c>
      <c r="N16" s="98">
        <f>SUM(N13:N15)</f>
        <v>250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8.1875</v>
      </c>
      <c r="M24" s="115">
        <f>IF($E$28="Sim",F$13*'R-Avançado'!$H$11/100*$E$29/$N$13,0)</f>
        <v>0</v>
      </c>
      <c r="N24" s="115">
        <f>IF($E$32="Sim",F$13*'R-Avançado'!$G$11/100*$E$33/$N$13,0)</f>
        <v>0</v>
      </c>
      <c r="O24" s="628">
        <f>IF(AND($I$25&gt;0,$I$24="Sim"),$I$27/$N$15*F$15*'R-Avançado'!$F$11/100,0)</f>
        <v>8.1875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250</v>
      </c>
      <c r="J25" s="591"/>
      <c r="K25" s="625" t="s">
        <v>29</v>
      </c>
      <c r="L25" s="114">
        <f t="shared" si="1"/>
        <v>5.5625</v>
      </c>
      <c r="M25" s="115">
        <f>IF($E$28="Sim",G$13*'R-Avançado'!$H$11/100*$E$29/$N$13,0)</f>
        <v>0</v>
      </c>
      <c r="N25" s="115">
        <f>IF($E$32="Sim",G$13*'R-Avançado'!$G$11/100*$E$33/$N$13,0)</f>
        <v>0</v>
      </c>
      <c r="O25" s="628">
        <f>IF(AND($I$25&gt;0,$I$24="Sim"),$I$27/$N$15*G$15*'R-Avançado'!$F$11/100,0)</f>
        <v>5.5625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49" t="str">
        <f>IF(AND(I24="Sim",I27&lt;&gt;0,I27&lt;50),"Mín. é 50 t/d. Rever Célula I26","")</f>
        <v/>
      </c>
      <c r="K26" s="625" t="s">
        <v>78</v>
      </c>
      <c r="L26" s="114">
        <f t="shared" si="1"/>
        <v>2.875</v>
      </c>
      <c r="M26" s="115">
        <f>IF($E$28="Sim",H$13*'R-Avançado'!$H$11/100*$E$29/$N$13,0)</f>
        <v>0</v>
      </c>
      <c r="N26" s="115">
        <f>IF($E$32="Sim",H$13*'R-Avançado'!$G$11/100*$E$33/$N$13,0)</f>
        <v>0</v>
      </c>
      <c r="O26" s="628">
        <f>IF(AND($I$25&gt;0,$I$24="Sim"),$I$27/$N$15*H$15*'R-Avançado'!$F$11/100,0)</f>
        <v>2.875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250</v>
      </c>
      <c r="J27" s="2150"/>
      <c r="K27" s="625" t="s">
        <v>31</v>
      </c>
      <c r="L27" s="114">
        <f t="shared" si="1"/>
        <v>1.5</v>
      </c>
      <c r="M27" s="115">
        <f>IF($E$28="Sim",I$13*'R-Avançado'!$H$11/100*$E$29/$N$13,0)</f>
        <v>0</v>
      </c>
      <c r="N27" s="115">
        <f>IF($E$32="Sim",I$13*'R-Avançado'!$G$11/100*$E$33/$N$13,0)</f>
        <v>0</v>
      </c>
      <c r="O27" s="628">
        <f>IF(AND($I$25&gt;0,$I$24="Sim"),$I$27/$N$15*I$15*'R-Avançado'!$F$11/100,0)</f>
        <v>1.5</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49" t="str">
        <f>IF(E29&gt;100,"Máx. é 100 t/d. Rever Célula E25","")</f>
        <v/>
      </c>
      <c r="G28" s="640"/>
      <c r="H28" s="594" t="s">
        <v>81</v>
      </c>
      <c r="I28" s="959" t="s">
        <v>62</v>
      </c>
      <c r="J28" s="530"/>
      <c r="K28" s="625" t="s">
        <v>32</v>
      </c>
      <c r="L28" s="114">
        <f t="shared" si="1"/>
        <v>1.4375</v>
      </c>
      <c r="M28" s="115">
        <f>IF($E$28="Sim",J$13*'R-Avançado'!$H$11/100*$E$29/$N$13,0)</f>
        <v>0</v>
      </c>
      <c r="N28" s="115">
        <f>IF($E$32="Sim",J$13*'R-Avançado'!$G$11/100*$E$33/$N$13,0)</f>
        <v>0</v>
      </c>
      <c r="O28" s="628">
        <f>IF(AND($I$25&gt;0,$I$24="Sim"),$I$27/$N$15*J$15*'R-Avançado'!$F$11/100,0)</f>
        <v>1.4375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0"/>
      <c r="G29" s="640"/>
      <c r="H29" s="594" t="s">
        <v>83</v>
      </c>
      <c r="I29" s="959" t="s">
        <v>63</v>
      </c>
      <c r="J29" s="530"/>
      <c r="K29" s="625" t="s">
        <v>84</v>
      </c>
      <c r="L29" s="114">
        <f t="shared" si="1"/>
        <v>0.375</v>
      </c>
      <c r="M29" s="115">
        <f>IF($E$28="Sim",K$13*'R-Avançado'!$H$11/100*$E$29/$N$13,0)</f>
        <v>0</v>
      </c>
      <c r="N29" s="115">
        <f>IF($E$32="Sim",K$13*'R-Avançado'!$G$11/100*$E$33/$N$13,0)</f>
        <v>0</v>
      </c>
      <c r="O29" s="628">
        <f>IF(AND($I$25&gt;0,$I$24="Sim"),$I$27/$N$15*K$15*'R-Avançado'!$F$11/100,0)</f>
        <v>0.375</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0"/>
      <c r="G30" s="434"/>
      <c r="H30" s="434"/>
      <c r="I30" s="434"/>
      <c r="J30" s="602"/>
      <c r="K30" s="626" t="s">
        <v>513</v>
      </c>
      <c r="L30" s="116">
        <f>SUM(L24:L29)</f>
        <v>19.9375</v>
      </c>
      <c r="M30" s="199">
        <f>SUM(M24:M29)</f>
        <v>0</v>
      </c>
      <c r="N30" s="199">
        <f>SUM(N24:N29)</f>
        <v>0</v>
      </c>
      <c r="O30" s="629">
        <f>SUM(O24:O29)</f>
        <v>19.9375</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58" t="s">
        <v>85</v>
      </c>
      <c r="H31" s="2159"/>
      <c r="I31" s="216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49" t="str">
        <f>IF(AND(E24&gt;0,E33&lt;50,E33&gt;0),"Mín. é 50 t/d. Rever Célula E25","")</f>
        <v/>
      </c>
      <c r="G32" s="631"/>
      <c r="H32" s="594" t="s">
        <v>92</v>
      </c>
      <c r="I32" s="732" t="s">
        <v>89</v>
      </c>
      <c r="J32" s="434"/>
      <c r="K32" s="233" t="s">
        <v>780</v>
      </c>
      <c r="L32" s="98">
        <f>O32+O33</f>
        <v>109.22499999999999</v>
      </c>
      <c r="M32" s="644"/>
      <c r="N32" s="987" t="s">
        <v>54</v>
      </c>
      <c r="O32" s="985">
        <f>IF(AND($I$25&gt;0,$I$24="Sim"),I27/N15*D15*'R-Avançado'!E11/100,0)</f>
        <v>102.85</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0"/>
      <c r="G33" s="631"/>
      <c r="H33" s="594" t="s">
        <v>93</v>
      </c>
      <c r="I33" s="732" t="s">
        <v>89</v>
      </c>
      <c r="J33" s="434"/>
      <c r="K33" s="233" t="s">
        <v>781</v>
      </c>
      <c r="L33" s="98">
        <f>'R-Entrada'!E45</f>
        <v>0</v>
      </c>
      <c r="M33" s="645"/>
      <c r="N33" s="987" t="s">
        <v>55</v>
      </c>
      <c r="O33" s="985">
        <f>IF(AND($I$25&gt;0,$I$24="Sim"),I27/N15*E15*'R-Avançado'!E11/100,0)</f>
        <v>6.375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0"/>
      <c r="G34" s="641"/>
      <c r="H34" s="594" t="s">
        <v>960</v>
      </c>
      <c r="I34" s="958" t="s">
        <v>89</v>
      </c>
      <c r="J34" s="434"/>
      <c r="K34" s="642" t="s">
        <v>818</v>
      </c>
      <c r="L34" s="98">
        <f>SUM(M34:O34)</f>
        <v>94.5</v>
      </c>
      <c r="M34" s="98">
        <f>IF(E28="Sim",E29*(1-'R-Avançado'!H11/100)*0.9,0)</f>
        <v>0</v>
      </c>
      <c r="N34" s="986">
        <f>IF(E32="Sim",E33*(1-'R-Avançado'!G11/100)*0.9,0)</f>
        <v>0</v>
      </c>
      <c r="O34" s="98">
        <f>D43+E43+F43+G43+H43+L43</f>
        <v>94.5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26.337500000000006</v>
      </c>
      <c r="M35" s="98">
        <f>IF(E28="Sim",E29*(1-'R-Avançado'!H11/100)*0.1,0)</f>
        <v>0</v>
      </c>
      <c r="N35" s="98">
        <f>IF(E32="Sim",E33*(1-'R-Avançado'!G11/100)*0.1,0)</f>
        <v>0</v>
      </c>
      <c r="O35" s="98">
        <f>M43+K43+J43+I43</f>
        <v>26.337500000000006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1" t="s">
        <v>514</v>
      </c>
      <c r="E38" s="2118"/>
      <c r="F38" s="2118"/>
      <c r="G38" s="2118"/>
      <c r="H38" s="2118"/>
      <c r="I38" s="2118"/>
      <c r="J38" s="2118"/>
      <c r="K38" s="2118"/>
      <c r="L38" s="2118"/>
      <c r="M38" s="2118"/>
      <c r="N38" s="211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1" t="s">
        <v>25</v>
      </c>
      <c r="E39" s="2148"/>
      <c r="F39" s="2119" t="s">
        <v>49</v>
      </c>
      <c r="G39" s="2111" t="s">
        <v>475</v>
      </c>
      <c r="H39" s="2148"/>
      <c r="I39" s="2111" t="s">
        <v>51</v>
      </c>
      <c r="J39" s="2111" t="s">
        <v>52</v>
      </c>
      <c r="K39" s="2148"/>
      <c r="L39" s="2111" t="s">
        <v>477</v>
      </c>
      <c r="M39" s="2148"/>
      <c r="N39" s="2129"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1"/>
      <c r="G40" s="499" t="s">
        <v>56</v>
      </c>
      <c r="H40" s="499" t="s">
        <v>57</v>
      </c>
      <c r="I40" s="2148"/>
      <c r="J40" s="499" t="s">
        <v>58</v>
      </c>
      <c r="K40" s="499" t="s">
        <v>510</v>
      </c>
      <c r="L40" s="499" t="s">
        <v>478</v>
      </c>
      <c r="M40" s="500" t="s">
        <v>509</v>
      </c>
      <c r="N40" s="2148"/>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121</v>
      </c>
      <c r="E41" s="121">
        <f t="shared" si="2"/>
        <v>7.5</v>
      </c>
      <c r="F41" s="121">
        <f t="shared" si="2"/>
        <v>32.75</v>
      </c>
      <c r="G41" s="121">
        <f t="shared" si="2"/>
        <v>22.25</v>
      </c>
      <c r="H41" s="121">
        <f t="shared" si="2"/>
        <v>11.5</v>
      </c>
      <c r="I41" s="121">
        <f t="shared" si="2"/>
        <v>6</v>
      </c>
      <c r="J41" s="121">
        <f t="shared" si="2"/>
        <v>5.75</v>
      </c>
      <c r="K41" s="121">
        <f t="shared" si="2"/>
        <v>1.5</v>
      </c>
      <c r="L41" s="121">
        <f t="shared" si="2"/>
        <v>25.349999999999998</v>
      </c>
      <c r="M41" s="121">
        <f t="shared" si="2"/>
        <v>16.400000000000006</v>
      </c>
      <c r="N41" s="98">
        <f>SUM(D41:M41)</f>
        <v>250</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102.85</v>
      </c>
      <c r="E42" s="121">
        <f>O33</f>
        <v>6.375</v>
      </c>
      <c r="F42" s="121">
        <f>O24</f>
        <v>8.1875</v>
      </c>
      <c r="G42" s="121">
        <f>O25</f>
        <v>5.5625</v>
      </c>
      <c r="H42" s="121">
        <f>O26</f>
        <v>2.875</v>
      </c>
      <c r="I42" s="121">
        <f>O27</f>
        <v>1.5</v>
      </c>
      <c r="J42" s="121">
        <f>O28</f>
        <v>1.4375</v>
      </c>
      <c r="K42" s="121">
        <f>O29</f>
        <v>0.375</v>
      </c>
      <c r="L42" s="121">
        <v>0</v>
      </c>
      <c r="M42" s="121">
        <v>0</v>
      </c>
      <c r="N42" s="98">
        <f>SUM(D42:M42)</f>
        <v>129.16249999999999</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18.150000000000006</v>
      </c>
      <c r="E43" s="122">
        <f t="shared" si="3"/>
        <v>1.125</v>
      </c>
      <c r="F43" s="122">
        <f t="shared" si="3"/>
        <v>24.5625</v>
      </c>
      <c r="G43" s="122">
        <f t="shared" si="3"/>
        <v>16.6875</v>
      </c>
      <c r="H43" s="122">
        <f t="shared" si="3"/>
        <v>8.625</v>
      </c>
      <c r="I43" s="122">
        <f t="shared" si="3"/>
        <v>4.5</v>
      </c>
      <c r="J43" s="122">
        <f t="shared" si="3"/>
        <v>4.3125</v>
      </c>
      <c r="K43" s="122">
        <f t="shared" si="3"/>
        <v>1.125</v>
      </c>
      <c r="L43" s="122">
        <f t="shared" si="3"/>
        <v>25.349999999999998</v>
      </c>
      <c r="M43" s="122">
        <f t="shared" si="3"/>
        <v>16.400000000000006</v>
      </c>
      <c r="N43" s="98">
        <f>SUM(D43:M43)</f>
        <v>120.83750000000001</v>
      </c>
      <c r="O43" s="548"/>
      <c r="P43" s="492"/>
      <c r="Q43" s="544"/>
      <c r="R43" s="544"/>
      <c r="S43" s="544" t="s">
        <v>62</v>
      </c>
      <c r="T43" s="544">
        <f>IF($I$28="CDR",O34,0)</f>
        <v>94.5</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203.72499999999999</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86.583124999999995</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94.5</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109.22499999999999</v>
      </c>
      <c r="F52" s="434"/>
      <c r="G52" s="92"/>
      <c r="H52" s="118" t="s">
        <v>521</v>
      </c>
      <c r="I52" s="98">
        <f>IF(E52&gt;0,I49,0)</f>
        <v>203.72499999999999</v>
      </c>
      <c r="J52" s="984" t="str">
        <f>IF(AND(I52&gt;0,I52&lt;250),"Massa mín. é 250 t/d","")</f>
        <v>Massa mín. é 250 t/d</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Alterar I29 para 'Tratat. Biológico'</v>
      </c>
      <c r="K53" s="434"/>
      <c r="L53" s="434"/>
      <c r="M53" s="650"/>
      <c r="N53" s="509" t="s">
        <v>107</v>
      </c>
      <c r="O53" s="968">
        <f>I52*'R-Avançado'!M12/100+I51*'R-Avançado'!M11/100</f>
        <v>61.1175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ou aumentar massa triada em I26</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ou rever destino dos rejeitos em E30 e E34</v>
      </c>
      <c r="K55" s="434"/>
      <c r="L55" s="434"/>
      <c r="M55" s="132"/>
      <c r="N55" s="509" t="s">
        <v>841</v>
      </c>
      <c r="O55" s="698">
        <f>I52*'R-Avançado'!L12/100+I51*'R-Avançado'!L11/100</f>
        <v>56.024374999999999</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100</v>
      </c>
      <c r="K60" s="435" t="str">
        <f>IF(J60&lt;&gt;0,"&gt;&gt;&gt;&gt;","")</f>
        <v>&gt;&gt;&gt;&gt;</v>
      </c>
      <c r="L60" s="651">
        <f>IF(J60&gt;0,J60/100*E60,"")</f>
        <v>0</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6" t="s">
        <v>113</v>
      </c>
      <c r="O61" s="215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5" t="s">
        <v>126</v>
      </c>
      <c r="J72" s="216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3" t="s">
        <v>533</v>
      </c>
      <c r="E77" s="2164"/>
      <c r="F77" s="2164"/>
      <c r="G77" s="2164"/>
      <c r="H77" s="2164"/>
      <c r="I77" s="2164"/>
      <c r="J77" s="2164"/>
      <c r="K77" s="2164"/>
      <c r="L77" s="2164"/>
      <c r="M77" s="2164"/>
      <c r="N77" s="216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3" t="s">
        <v>25</v>
      </c>
      <c r="E78" s="2164"/>
      <c r="F78" s="2168" t="s">
        <v>49</v>
      </c>
      <c r="G78" s="2163" t="s">
        <v>475</v>
      </c>
      <c r="H78" s="2164"/>
      <c r="I78" s="2163" t="s">
        <v>476</v>
      </c>
      <c r="J78" s="2163" t="s">
        <v>52</v>
      </c>
      <c r="K78" s="2164"/>
      <c r="L78" s="2163" t="s">
        <v>477</v>
      </c>
      <c r="M78" s="2164"/>
      <c r="N78" s="216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69"/>
      <c r="G79" s="505" t="s">
        <v>56</v>
      </c>
      <c r="H79" s="505" t="s">
        <v>57</v>
      </c>
      <c r="I79" s="2164"/>
      <c r="J79" s="505" t="s">
        <v>58</v>
      </c>
      <c r="K79" s="505" t="s">
        <v>510</v>
      </c>
      <c r="L79" s="505" t="s">
        <v>478</v>
      </c>
      <c r="M79" s="506" t="s">
        <v>509</v>
      </c>
      <c r="N79" s="216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18.150000000000006</v>
      </c>
      <c r="E80" s="135">
        <f t="shared" si="5"/>
        <v>1.125</v>
      </c>
      <c r="F80" s="135">
        <f t="shared" si="5"/>
        <v>24.5625</v>
      </c>
      <c r="G80" s="135">
        <f t="shared" si="5"/>
        <v>16.6875</v>
      </c>
      <c r="H80" s="135">
        <f t="shared" si="5"/>
        <v>8.625</v>
      </c>
      <c r="I80" s="135">
        <f t="shared" si="5"/>
        <v>4.5</v>
      </c>
      <c r="J80" s="135">
        <f t="shared" si="5"/>
        <v>4.3125</v>
      </c>
      <c r="K80" s="135">
        <f t="shared" si="5"/>
        <v>1.125</v>
      </c>
      <c r="L80" s="135">
        <f t="shared" si="5"/>
        <v>25.349999999999998</v>
      </c>
      <c r="M80" s="135">
        <f t="shared" si="5"/>
        <v>16.400000000000006</v>
      </c>
      <c r="N80" s="669">
        <f>SUM(D80:M80)</f>
        <v>120.83750000000001</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18.150000000000006</v>
      </c>
      <c r="E82" s="141">
        <f t="shared" si="7"/>
        <v>1.125</v>
      </c>
      <c r="F82" s="141">
        <f t="shared" si="7"/>
        <v>24.5625</v>
      </c>
      <c r="G82" s="141">
        <f t="shared" si="7"/>
        <v>16.6875</v>
      </c>
      <c r="H82" s="141">
        <f t="shared" si="7"/>
        <v>8.625</v>
      </c>
      <c r="I82" s="141">
        <f t="shared" si="7"/>
        <v>4.5</v>
      </c>
      <c r="J82" s="141">
        <f t="shared" si="7"/>
        <v>4.3125</v>
      </c>
      <c r="K82" s="141">
        <f t="shared" si="7"/>
        <v>1.125</v>
      </c>
      <c r="L82" s="141">
        <f t="shared" si="7"/>
        <v>25.349999999999998</v>
      </c>
      <c r="M82" s="141">
        <f t="shared" si="7"/>
        <v>16.400000000000006</v>
      </c>
      <c r="N82" s="670">
        <f>SUM(D82:M82)</f>
        <v>120.83750000000001</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18.150000000000006</v>
      </c>
      <c r="E86" s="200">
        <f t="shared" si="8"/>
        <v>1.125</v>
      </c>
      <c r="F86" s="200">
        <f t="shared" si="8"/>
        <v>24.5625</v>
      </c>
      <c r="G86" s="200">
        <f t="shared" si="8"/>
        <v>16.6875</v>
      </c>
      <c r="H86" s="200">
        <f t="shared" si="8"/>
        <v>8.625</v>
      </c>
      <c r="I86" s="200">
        <f t="shared" si="8"/>
        <v>0</v>
      </c>
      <c r="J86" s="200">
        <f t="shared" si="8"/>
        <v>0</v>
      </c>
      <c r="K86" s="200">
        <f t="shared" si="8"/>
        <v>0</v>
      </c>
      <c r="L86" s="200">
        <f t="shared" si="8"/>
        <v>25.349999999999998</v>
      </c>
      <c r="M86" s="200">
        <f t="shared" si="8"/>
        <v>0</v>
      </c>
      <c r="N86" s="200">
        <f>SUM(D86:M86)</f>
        <v>94.5</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18.150000000000006</v>
      </c>
      <c r="E87" s="143">
        <f>IF($E$51&gt;0,E43,0)</f>
        <v>1.125</v>
      </c>
      <c r="F87" s="143">
        <f>IF($E$51&gt;0,F43,0)</f>
        <v>24.5625</v>
      </c>
      <c r="G87" s="143">
        <f>IF($E$51&gt;0,G43,0)</f>
        <v>16.6875</v>
      </c>
      <c r="H87" s="143">
        <f>IF($E$51&gt;0,H43,0)</f>
        <v>8.625</v>
      </c>
      <c r="I87" s="133"/>
      <c r="J87" s="133"/>
      <c r="K87" s="133"/>
      <c r="L87" s="156">
        <f>IF($E$51&gt;0,L43,0)</f>
        <v>25.349999999999998</v>
      </c>
      <c r="M87" s="143"/>
      <c r="N87" s="677">
        <f>SUM(D87:M87)</f>
        <v>94.5</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4.5</v>
      </c>
      <c r="J90" s="135">
        <f t="shared" si="9"/>
        <v>4.3125</v>
      </c>
      <c r="K90" s="135">
        <f t="shared" si="9"/>
        <v>1.125</v>
      </c>
      <c r="L90" s="135">
        <f t="shared" si="9"/>
        <v>0</v>
      </c>
      <c r="M90" s="135">
        <f t="shared" si="9"/>
        <v>16.400000000000006</v>
      </c>
      <c r="N90" s="669">
        <f>SUM(D90:M90)</f>
        <v>26.337500000000006</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-7.1054273576010019E-15</v>
      </c>
      <c r="N92" s="200">
        <f>SUM(D92:M93)</f>
        <v>-7.1054273576010019E-15</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4.5</v>
      </c>
      <c r="J94" s="200">
        <f t="shared" si="11"/>
        <v>4.3125</v>
      </c>
      <c r="K94" s="200">
        <f t="shared" si="11"/>
        <v>1.125</v>
      </c>
      <c r="L94" s="200">
        <f t="shared" si="11"/>
        <v>0</v>
      </c>
      <c r="M94" s="200">
        <f>SUM(M95:M101)</f>
        <v>77.517500000000013</v>
      </c>
      <c r="N94" s="200">
        <f t="shared" ref="N94:N101" si="12">SUM(D94:M94)</f>
        <v>87.455000000000013</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4.5</v>
      </c>
      <c r="J96" s="141">
        <f t="shared" si="14"/>
        <v>4.3125</v>
      </c>
      <c r="K96" s="141">
        <f t="shared" si="14"/>
        <v>1.125</v>
      </c>
      <c r="L96" s="141">
        <f>IF(OR($I$28="Incineração",I28="CDR"),0,L43)</f>
        <v>0</v>
      </c>
      <c r="M96" s="141">
        <f>IF($I$28="Incineração",0,M43)</f>
        <v>16.400000000000006</v>
      </c>
      <c r="N96" s="670">
        <f t="shared" si="12"/>
        <v>26.337500000000006</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61.1175</v>
      </c>
      <c r="N100" s="670">
        <f t="shared" si="12"/>
        <v>61.1175</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6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6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6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6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87.455000000000013</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58.983500000000006</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3" t="str">
        <f>IF('R-Entrada'!D2&lt;&gt;0,'R-Entrada'!D2,"")</f>
        <v>CIRSOP - Consórcio RSU Oeste Paulista</v>
      </c>
      <c r="E2" s="2194"/>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3" t="str">
        <f>IF('R-Entrada'!D3&lt;&gt;0,'R-Entrada'!D3,"")</f>
        <v>Biodigestão c/ Prod. E. Elétrica</v>
      </c>
      <c r="E3" s="2194"/>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5" t="s">
        <v>473</v>
      </c>
      <c r="O5" s="2196"/>
      <c r="P5" s="484"/>
      <c r="Q5" s="484"/>
      <c r="R5" s="484"/>
      <c r="S5" s="484"/>
      <c r="T5" s="484"/>
      <c r="U5" s="484"/>
    </row>
    <row r="6" spans="1:21" ht="18.45" customHeight="1" x14ac:dyDescent="0.3">
      <c r="A6" s="484"/>
      <c r="B6" s="484"/>
      <c r="C6" s="484"/>
      <c r="D6" s="484"/>
      <c r="E6" s="484"/>
      <c r="F6" s="484"/>
      <c r="G6" s="484"/>
      <c r="H6" s="484"/>
      <c r="I6" s="484"/>
      <c r="J6" s="484"/>
      <c r="K6" s="484"/>
      <c r="L6" s="484"/>
      <c r="M6" s="484"/>
      <c r="N6" s="2122" t="str">
        <f>Apresentação!I2</f>
        <v>RC-RSU V.1.0 - 15/10/2020</v>
      </c>
      <c r="O6" s="2196"/>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79" t="s">
        <v>958</v>
      </c>
      <c r="F8" s="2180"/>
      <c r="G8" s="2180"/>
      <c r="H8" s="2181"/>
      <c r="I8" s="484"/>
      <c r="J8" s="2185"/>
      <c r="K8" s="2186"/>
      <c r="L8" s="2182" t="s">
        <v>186</v>
      </c>
      <c r="M8" s="2182" t="s">
        <v>535</v>
      </c>
      <c r="N8" s="484"/>
      <c r="O8" s="484"/>
      <c r="P8" s="484"/>
      <c r="Q8" s="484"/>
      <c r="R8" s="484"/>
      <c r="S8" s="484"/>
      <c r="T8" s="484"/>
      <c r="U8" s="484"/>
    </row>
    <row r="9" spans="1:21" ht="18" customHeight="1" x14ac:dyDescent="0.3">
      <c r="A9" s="484"/>
      <c r="B9" s="484"/>
      <c r="C9" s="484"/>
      <c r="D9" s="2171"/>
      <c r="E9" s="748" t="s">
        <v>25</v>
      </c>
      <c r="F9" s="2179" t="s">
        <v>959</v>
      </c>
      <c r="G9" s="2180"/>
      <c r="H9" s="2181"/>
      <c r="I9" s="484"/>
      <c r="J9" s="2187"/>
      <c r="K9" s="2188"/>
      <c r="L9" s="2183"/>
      <c r="M9" s="2183"/>
      <c r="N9" s="484"/>
      <c r="O9" s="484"/>
      <c r="P9" s="484"/>
      <c r="Q9" s="484"/>
      <c r="R9" s="484"/>
      <c r="S9" s="484"/>
      <c r="T9" s="484"/>
      <c r="U9" s="484"/>
    </row>
    <row r="10" spans="1:21" ht="18" customHeight="1" x14ac:dyDescent="0.3">
      <c r="A10" s="484"/>
      <c r="B10" s="484"/>
      <c r="C10" s="484"/>
      <c r="D10" s="2172"/>
      <c r="E10" s="1627" t="s">
        <v>730</v>
      </c>
      <c r="F10" s="517" t="s">
        <v>730</v>
      </c>
      <c r="G10" s="517" t="s">
        <v>731</v>
      </c>
      <c r="H10" s="517" t="s">
        <v>557</v>
      </c>
      <c r="I10" s="484"/>
      <c r="J10" s="2189"/>
      <c r="K10" s="2190"/>
      <c r="L10" s="2183"/>
      <c r="M10" s="2183"/>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4" t="s">
        <v>536</v>
      </c>
      <c r="K11" s="2184"/>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4" t="s">
        <v>537</v>
      </c>
      <c r="K12" s="2184"/>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3" t="s">
        <v>191</v>
      </c>
      <c r="E17" s="514" t="s">
        <v>192</v>
      </c>
      <c r="F17" s="514" t="s">
        <v>999</v>
      </c>
      <c r="G17" s="484"/>
      <c r="H17" s="2175"/>
      <c r="I17" s="2175" t="s">
        <v>193</v>
      </c>
      <c r="J17" s="2164"/>
      <c r="K17" s="484"/>
      <c r="L17" s="2174" t="s">
        <v>744</v>
      </c>
      <c r="M17" s="2148"/>
      <c r="N17" s="484"/>
      <c r="O17" s="484"/>
      <c r="P17" s="484"/>
      <c r="Q17" s="484"/>
      <c r="R17" s="484"/>
      <c r="S17" s="484"/>
      <c r="T17" s="484"/>
      <c r="U17" s="484"/>
    </row>
    <row r="18" spans="1:21" ht="18" customHeight="1" x14ac:dyDescent="0.3">
      <c r="A18" s="484"/>
      <c r="B18" s="484"/>
      <c r="C18" s="729"/>
      <c r="D18" s="2164"/>
      <c r="E18" s="1712" t="s">
        <v>1062</v>
      </c>
      <c r="F18" s="1712" t="s">
        <v>998</v>
      </c>
      <c r="G18" s="484"/>
      <c r="H18" s="2164"/>
      <c r="I18" s="514" t="s">
        <v>189</v>
      </c>
      <c r="J18" s="717" t="s">
        <v>132</v>
      </c>
      <c r="K18" s="484"/>
      <c r="L18" s="2148"/>
      <c r="M18" s="2148"/>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6" t="s">
        <v>745</v>
      </c>
      <c r="E23" s="2177"/>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6" t="s">
        <v>538</v>
      </c>
      <c r="E24" s="2177"/>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2"/>
      <c r="D27" s="2203"/>
      <c r="E27" s="2203"/>
      <c r="F27" s="340" t="s">
        <v>195</v>
      </c>
      <c r="G27" s="484"/>
      <c r="H27" s="2178" t="s">
        <v>539</v>
      </c>
      <c r="I27" s="2148"/>
      <c r="J27" s="2148"/>
      <c r="K27" s="484"/>
      <c r="L27" s="2201"/>
      <c r="M27" s="2164"/>
      <c r="N27" s="2164"/>
      <c r="O27" s="514" t="s">
        <v>289</v>
      </c>
      <c r="P27" s="484"/>
      <c r="Q27" s="484"/>
      <c r="R27" s="484"/>
      <c r="S27" s="484"/>
      <c r="T27" s="484"/>
      <c r="U27" s="484"/>
    </row>
    <row r="28" spans="1:21" ht="18" customHeight="1" x14ac:dyDescent="0.3">
      <c r="A28" s="484"/>
      <c r="B28" s="484"/>
      <c r="C28" s="2176" t="s">
        <v>746</v>
      </c>
      <c r="D28" s="2177"/>
      <c r="E28" s="2177"/>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6" t="s">
        <v>196</v>
      </c>
      <c r="D29" s="2177"/>
      <c r="E29" s="2177"/>
      <c r="F29" s="214">
        <v>20</v>
      </c>
      <c r="G29" s="484"/>
      <c r="H29" s="214">
        <v>50</v>
      </c>
      <c r="I29" s="214">
        <v>30</v>
      </c>
      <c r="J29" s="214">
        <v>10</v>
      </c>
      <c r="K29" s="484"/>
      <c r="L29" s="2191" t="s">
        <v>541</v>
      </c>
      <c r="M29" s="2192"/>
      <c r="N29" s="2192"/>
      <c r="O29" s="1585">
        <v>35</v>
      </c>
      <c r="P29" s="484"/>
      <c r="Q29" s="484"/>
      <c r="R29" s="484"/>
      <c r="S29" s="484"/>
      <c r="T29" s="484"/>
      <c r="U29" s="484"/>
    </row>
    <row r="30" spans="1:21" ht="18" customHeight="1" x14ac:dyDescent="0.3">
      <c r="A30" s="484"/>
      <c r="B30" s="484"/>
      <c r="C30" s="2176" t="s">
        <v>159</v>
      </c>
      <c r="D30" s="2177"/>
      <c r="E30" s="2177"/>
      <c r="F30" s="214">
        <v>90</v>
      </c>
      <c r="G30" s="484"/>
      <c r="H30" s="170"/>
      <c r="I30" s="213"/>
      <c r="J30" s="170"/>
      <c r="K30" s="484"/>
      <c r="L30" s="2191" t="s">
        <v>747</v>
      </c>
      <c r="M30" s="2192"/>
      <c r="N30" s="2192"/>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99"/>
      <c r="C33" s="2200"/>
      <c r="D33" s="2200"/>
      <c r="E33" s="2111" t="s">
        <v>198</v>
      </c>
      <c r="F33" s="2148"/>
      <c r="G33" s="2148"/>
      <c r="H33" s="2148"/>
      <c r="I33" s="2148"/>
      <c r="J33" s="2148"/>
      <c r="K33" s="2148"/>
      <c r="L33" s="2148"/>
      <c r="M33" s="2148"/>
      <c r="N33" s="2148"/>
      <c r="O33" s="484"/>
      <c r="P33" s="484"/>
      <c r="Q33" s="484"/>
      <c r="R33" s="484"/>
      <c r="S33" s="484"/>
      <c r="T33" s="484"/>
      <c r="U33" s="484"/>
    </row>
    <row r="34" spans="1:21" ht="18" customHeight="1" x14ac:dyDescent="0.3">
      <c r="A34" s="484"/>
      <c r="B34" s="2200"/>
      <c r="C34" s="2200"/>
      <c r="D34" s="2200"/>
      <c r="E34" s="2111" t="s">
        <v>25</v>
      </c>
      <c r="F34" s="2148"/>
      <c r="G34" s="2119" t="s">
        <v>49</v>
      </c>
      <c r="H34" s="2111" t="s">
        <v>475</v>
      </c>
      <c r="I34" s="2148"/>
      <c r="J34" s="2111" t="s">
        <v>476</v>
      </c>
      <c r="K34" s="2111" t="s">
        <v>52</v>
      </c>
      <c r="L34" s="2148"/>
      <c r="M34" s="2111" t="s">
        <v>477</v>
      </c>
      <c r="N34" s="2148"/>
      <c r="O34" s="484"/>
      <c r="P34" s="484"/>
      <c r="Q34" s="484"/>
      <c r="R34" s="484"/>
      <c r="S34" s="484"/>
      <c r="T34" s="484"/>
      <c r="U34" s="484"/>
    </row>
    <row r="35" spans="1:21" ht="18" customHeight="1" x14ac:dyDescent="0.3">
      <c r="A35" s="484"/>
      <c r="B35" s="2200"/>
      <c r="C35" s="2200"/>
      <c r="D35" s="2200"/>
      <c r="E35" s="499" t="s">
        <v>54</v>
      </c>
      <c r="F35" s="499" t="s">
        <v>479</v>
      </c>
      <c r="G35" s="2148"/>
      <c r="H35" s="499" t="s">
        <v>56</v>
      </c>
      <c r="I35" s="499" t="s">
        <v>57</v>
      </c>
      <c r="J35" s="2148"/>
      <c r="K35" s="499" t="s">
        <v>58</v>
      </c>
      <c r="L35" s="499" t="s">
        <v>510</v>
      </c>
      <c r="M35" s="499" t="s">
        <v>478</v>
      </c>
      <c r="N35" s="499" t="s">
        <v>509</v>
      </c>
      <c r="O35" s="484"/>
      <c r="P35" s="484"/>
      <c r="Q35" s="484"/>
      <c r="R35" s="484"/>
      <c r="S35" s="484"/>
      <c r="T35" s="484"/>
      <c r="U35" s="484"/>
    </row>
    <row r="36" spans="1:21" ht="18" customHeight="1" x14ac:dyDescent="0.3">
      <c r="A36" s="484"/>
      <c r="B36" s="2184" t="s">
        <v>480</v>
      </c>
      <c r="C36" s="2198"/>
      <c r="D36" s="219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4" t="s">
        <v>748</v>
      </c>
      <c r="C37" s="2198"/>
      <c r="D37" s="219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97" t="s">
        <v>831</v>
      </c>
      <c r="C38" s="2198"/>
      <c r="D38" s="219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3" t="s">
        <v>834</v>
      </c>
      <c r="C1" s="2234"/>
      <c r="D1" s="2234"/>
      <c r="E1" s="2234"/>
      <c r="F1" s="2234"/>
      <c r="G1" s="2234"/>
      <c r="H1" s="2234"/>
      <c r="I1" s="2234"/>
      <c r="J1" s="2234"/>
      <c r="K1" s="2234"/>
      <c r="L1" s="2234"/>
      <c r="M1" s="2234"/>
      <c r="N1" s="2234"/>
      <c r="O1" s="2234"/>
      <c r="P1" s="2235"/>
      <c r="Q1" s="2235"/>
      <c r="R1" s="2219" t="s">
        <v>199</v>
      </c>
      <c r="S1" s="2220"/>
      <c r="T1" s="2220"/>
      <c r="U1" s="2220"/>
      <c r="V1" s="2226" t="str">
        <f>IF('R-Entrada'!D3&lt;&gt;0,'R-Entrada'!D3,"")</f>
        <v>Biodigestão c/ Prod. E. Elétrica</v>
      </c>
      <c r="W1" s="2227"/>
      <c r="X1" s="2227"/>
      <c r="Y1" s="2227"/>
      <c r="Z1" s="2227"/>
      <c r="AA1" s="2227"/>
      <c r="AB1" s="2228"/>
      <c r="AC1" s="2219" t="s">
        <v>4</v>
      </c>
      <c r="AD1" s="2220"/>
      <c r="AE1" s="2220"/>
      <c r="AF1" s="2220"/>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3">
      <c r="B2" s="2229"/>
      <c r="C2" s="2205"/>
      <c r="D2" s="2205"/>
      <c r="E2" s="2205"/>
      <c r="F2" s="2205"/>
      <c r="G2" s="2205"/>
      <c r="H2" s="2205"/>
      <c r="I2" s="2206"/>
      <c r="J2" s="166"/>
      <c r="K2" s="2223"/>
      <c r="L2" s="2205"/>
      <c r="M2" s="2205"/>
      <c r="N2" s="2205"/>
      <c r="O2" s="2205"/>
      <c r="P2" s="2205"/>
      <c r="Q2" s="2205"/>
      <c r="R2" s="2205"/>
      <c r="S2" s="2205"/>
      <c r="T2" s="2205"/>
      <c r="U2" s="2205"/>
      <c r="V2" s="2205"/>
      <c r="W2" s="2205"/>
      <c r="X2" s="2205"/>
      <c r="Y2" s="2205"/>
      <c r="Z2" s="2205"/>
      <c r="AA2" s="2205"/>
      <c r="AB2" s="2205"/>
      <c r="AC2" s="2205"/>
      <c r="AD2" s="2205"/>
      <c r="AE2" s="2205"/>
      <c r="AF2" s="2205"/>
      <c r="AG2" s="2205"/>
      <c r="AH2" s="2205"/>
      <c r="AI2" s="2205"/>
      <c r="AJ2" s="2206"/>
      <c r="AK2" s="2223"/>
      <c r="AL2" s="2205"/>
      <c r="AM2" s="2205"/>
      <c r="AN2" s="2205"/>
      <c r="AO2" s="2205"/>
      <c r="AP2" s="2205"/>
      <c r="AQ2" s="2205"/>
      <c r="AR2" s="2205"/>
      <c r="AS2" s="2205"/>
      <c r="AT2" s="2224"/>
      <c r="AU2" s="165"/>
    </row>
    <row r="3" spans="2:69" s="164" customFormat="1" ht="16.95" customHeight="1" x14ac:dyDescent="0.3">
      <c r="B3" s="167"/>
      <c r="C3" s="158">
        <f>'R-Entrada'!E14</f>
        <v>250</v>
      </c>
      <c r="D3" s="168"/>
      <c r="E3" s="2225" t="s">
        <v>200</v>
      </c>
      <c r="F3" s="2205"/>
      <c r="G3" s="2205"/>
      <c r="H3" s="2206"/>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5" t="s">
        <v>201</v>
      </c>
      <c r="F5" s="2205"/>
      <c r="G5" s="2205"/>
      <c r="H5" s="2206"/>
      <c r="I5" s="166"/>
      <c r="J5" s="166"/>
      <c r="K5" s="166"/>
      <c r="L5" s="166"/>
      <c r="M5" s="166"/>
      <c r="N5" s="166"/>
      <c r="O5" s="166"/>
      <c r="P5" s="166"/>
      <c r="Q5" s="166"/>
      <c r="R5" s="166"/>
      <c r="S5" s="166"/>
      <c r="T5" s="166"/>
      <c r="U5" s="166"/>
      <c r="V5" s="166"/>
      <c r="W5" s="166"/>
      <c r="X5" s="166"/>
      <c r="Y5" s="166"/>
      <c r="Z5" s="166"/>
      <c r="AA5" s="166"/>
      <c r="AB5" s="2230" t="s">
        <v>473</v>
      </c>
      <c r="AC5" s="2152"/>
      <c r="AD5" s="2152"/>
      <c r="AE5" s="2152"/>
      <c r="AF5" s="2152"/>
      <c r="AG5" s="2152"/>
      <c r="AH5" s="2152"/>
      <c r="AI5" s="2152"/>
      <c r="AJ5" s="2152"/>
      <c r="AK5" s="2152"/>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5" t="s">
        <v>59</v>
      </c>
      <c r="F7" s="2205"/>
      <c r="G7" s="2205"/>
      <c r="H7" s="2206"/>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250</v>
      </c>
      <c r="D9" s="166"/>
      <c r="E9" s="2225" t="s">
        <v>202</v>
      </c>
      <c r="F9" s="2205"/>
      <c r="G9" s="2205"/>
      <c r="H9" s="220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250</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39" t="s">
        <v>832</v>
      </c>
      <c r="J15" s="2205"/>
      <c r="K15" s="2205"/>
      <c r="L15" s="2205"/>
      <c r="M15" s="2205"/>
      <c r="N15" s="2205"/>
      <c r="O15" s="220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39" t="s">
        <v>833</v>
      </c>
      <c r="M19" s="2205"/>
      <c r="N19" s="2205"/>
      <c r="O19" s="2205"/>
      <c r="P19" s="2205"/>
      <c r="Q19" s="2205"/>
      <c r="R19" s="2206"/>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250</v>
      </c>
      <c r="G23" s="166"/>
      <c r="H23" s="166"/>
      <c r="I23" s="166"/>
      <c r="J23" s="166"/>
      <c r="K23" s="166"/>
      <c r="L23" s="166"/>
      <c r="M23" s="166"/>
      <c r="N23" s="166"/>
      <c r="O23" s="166"/>
      <c r="P23" s="166"/>
      <c r="Q23" s="2239" t="s">
        <v>836</v>
      </c>
      <c r="R23" s="2205"/>
      <c r="S23" s="2205"/>
      <c r="T23" s="2205"/>
      <c r="U23" s="2205"/>
      <c r="V23" s="2205"/>
      <c r="W23" s="2206"/>
      <c r="X23" s="166"/>
      <c r="Y23" s="166"/>
      <c r="Z23" s="166"/>
      <c r="AA23" s="166"/>
      <c r="AB23" s="166"/>
      <c r="AC23" s="166"/>
      <c r="AD23" s="166"/>
      <c r="AE23" s="166"/>
      <c r="AF23" s="166"/>
      <c r="AG23" s="166"/>
      <c r="AH23" s="166"/>
      <c r="AI23" s="166"/>
      <c r="AJ23" s="166"/>
      <c r="AK23" s="166"/>
      <c r="AL23" s="166"/>
      <c r="AM23" s="166"/>
      <c r="AN23" s="159"/>
      <c r="AO23" s="158">
        <f>'R-Resumo Bal. Massa'!G64</f>
        <v>19.9375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0">
        <f>F15+F19+F23-AO15-AO19-AO23-AS17-AS21-AS25-S25</f>
        <v>94.5</v>
      </c>
      <c r="K25" s="2238"/>
      <c r="L25" s="2238"/>
      <c r="M25" s="2210"/>
      <c r="N25" s="166"/>
      <c r="O25" s="166"/>
      <c r="P25" s="166"/>
      <c r="Q25" s="166"/>
      <c r="R25" s="166"/>
      <c r="S25" s="2209">
        <f>IF('R-Definição'!I29&lt;&gt;"Aterro sanitário",'R-Resumo Bal. Massa'!F22,0)</f>
        <v>109.22499999999999</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26.337500000000006</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94.5</v>
      </c>
      <c r="O27" s="166"/>
      <c r="P27" s="166"/>
      <c r="Q27" s="166"/>
      <c r="R27" s="166"/>
      <c r="S27" s="166"/>
      <c r="T27" s="166"/>
      <c r="U27" s="166"/>
      <c r="V27" s="2209">
        <f>'R-Resumo Bal. Massa'!B25</f>
        <v>203.72499999999999</v>
      </c>
      <c r="W27" s="2210"/>
      <c r="X27" s="166"/>
      <c r="Y27" s="2204" t="s">
        <v>100</v>
      </c>
      <c r="Z27" s="2205"/>
      <c r="AA27" s="2205"/>
      <c r="AB27" s="2206"/>
      <c r="AC27" s="166"/>
      <c r="AD27" s="166"/>
      <c r="AE27" s="166"/>
      <c r="AF27" s="166"/>
      <c r="AG27" s="166"/>
      <c r="AH27" s="166"/>
      <c r="AI27" s="166"/>
      <c r="AJ27" s="166"/>
      <c r="AK27" s="166"/>
      <c r="AL27" s="166"/>
      <c r="AM27" s="166"/>
      <c r="AN27" s="159"/>
      <c r="AO27" s="158">
        <f>'R-Resumo Bal. Massa'!E29</f>
        <v>86.583124999999995</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9">
        <f>'R-Definição'!E59</f>
        <v>0</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56.024374999999999</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9">
        <f>SUM('R-Resumo Bal. Massa'!D40:D42)</f>
        <v>0</v>
      </c>
      <c r="K31" s="2238"/>
      <c r="L31" s="2238"/>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61.1175</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9">
        <f>'R-Resumo Bal. Massa'!D36</f>
        <v>0</v>
      </c>
      <c r="T33" s="2210"/>
      <c r="U33" s="166"/>
      <c r="V33" s="166"/>
      <c r="W33" s="166"/>
      <c r="X33" s="166"/>
      <c r="Y33" s="2209">
        <f>'R-Definição'!E60*'R-Definição'!J59/100</f>
        <v>0</v>
      </c>
      <c r="Z33" s="2210"/>
      <c r="AA33" s="166"/>
      <c r="AB33" s="2211" t="s">
        <v>115</v>
      </c>
      <c r="AC33" s="2212"/>
      <c r="AD33" s="2212"/>
      <c r="AE33" s="2212"/>
      <c r="AF33" s="2213"/>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9">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9">
        <f>'R-Resumo Bal. Massa'!D35</f>
        <v>0</v>
      </c>
      <c r="T37" s="2210"/>
      <c r="U37" s="166"/>
      <c r="V37" s="166"/>
      <c r="W37" s="166"/>
      <c r="X37" s="166"/>
      <c r="Y37" s="166"/>
      <c r="Z37" s="166"/>
      <c r="AA37" s="166"/>
      <c r="AB37" s="166"/>
      <c r="AC37" s="166"/>
      <c r="AD37" s="2204" t="s">
        <v>132</v>
      </c>
      <c r="AE37" s="2205"/>
      <c r="AF37" s="2205"/>
      <c r="AG37" s="2206"/>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9">
        <f>'R-Resumo Bal. Massa'!D43</f>
        <v>0</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9">
        <f>SUM('R-Resumo Bal. Massa'!D39:D42)</f>
        <v>0</v>
      </c>
      <c r="K43" s="2238"/>
      <c r="L43" s="2238"/>
      <c r="M43" s="2210"/>
      <c r="N43" s="166"/>
      <c r="O43" s="166"/>
      <c r="P43" s="166"/>
      <c r="Q43" s="166"/>
      <c r="R43" s="166"/>
      <c r="S43" s="166"/>
      <c r="T43" s="2209">
        <f>'R-Resumo Bal. Massa'!D44</f>
        <v>0</v>
      </c>
      <c r="U43" s="2210"/>
      <c r="V43" s="166"/>
      <c r="W43" s="166"/>
      <c r="X43" s="166"/>
      <c r="Y43" s="166"/>
      <c r="Z43" s="166"/>
      <c r="AA43" s="166"/>
      <c r="AB43" s="166"/>
      <c r="AC43" s="166"/>
      <c r="AD43" s="166"/>
      <c r="AE43" s="166"/>
      <c r="AF43" s="166"/>
      <c r="AG43" s="733"/>
      <c r="AH43" s="2204" t="s">
        <v>205</v>
      </c>
      <c r="AI43" s="2207"/>
      <c r="AJ43" s="2207"/>
      <c r="AK43" s="2208"/>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36">
        <f>'R-Definição'!E126</f>
        <v>58.983500000000006</v>
      </c>
      <c r="J51" s="223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106.520625</v>
      </c>
      <c r="AP51" s="162"/>
      <c r="AQ51" s="1025">
        <f>AQ29+AQ33+AQ39+AQ45</f>
        <v>56.024374999999999</v>
      </c>
      <c r="AR51" s="162"/>
      <c r="AS51" s="1025">
        <f>'R-Resumo Bal. Massa'!D53</f>
        <v>87.455000000000013</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36" t="str">
        <f>IF('R-Definição'!O124&gt;0,'R-Definição'!O124,"Não")</f>
        <v>Não</v>
      </c>
      <c r="J53" s="223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22.4</v>
      </c>
      <c r="AR53" s="163"/>
      <c r="AS53" s="1024">
        <f>IF(C11&lt;&gt;0,ROUND(AS51/(AO51+AQ51+AS51)*100,1),0)</f>
        <v>35</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56"/>
      <c r="K4" s="2128"/>
      <c r="L4" s="3"/>
      <c r="M4" s="3"/>
      <c r="N4" s="3"/>
      <c r="O4" s="3"/>
      <c r="P4" s="3"/>
      <c r="Q4" s="3"/>
      <c r="R4" s="3"/>
      <c r="S4" s="3"/>
      <c r="T4" s="3"/>
    </row>
    <row r="5" spans="1:20" ht="25.95" customHeight="1" x14ac:dyDescent="0.3">
      <c r="A5" s="3"/>
      <c r="B5" s="100"/>
      <c r="C5" s="204" t="s">
        <v>543</v>
      </c>
      <c r="D5" s="100"/>
      <c r="E5" s="100"/>
      <c r="F5" s="100"/>
      <c r="G5" s="100"/>
      <c r="H5" s="100"/>
      <c r="I5" s="3"/>
      <c r="J5" s="2258" t="s">
        <v>473</v>
      </c>
      <c r="K5" s="2152"/>
      <c r="L5" s="2152"/>
      <c r="M5" s="3"/>
      <c r="N5" s="3"/>
      <c r="O5" s="3"/>
      <c r="P5" s="3"/>
      <c r="Q5" s="3"/>
      <c r="R5" s="3"/>
      <c r="S5" s="3"/>
      <c r="T5" s="3"/>
    </row>
    <row r="6" spans="1:20" ht="18" customHeight="1" x14ac:dyDescent="0.3">
      <c r="A6" s="3"/>
      <c r="B6" s="64"/>
      <c r="C6" s="64"/>
      <c r="D6" s="64"/>
      <c r="E6" s="64"/>
      <c r="F6" s="64"/>
      <c r="G6" s="64"/>
      <c r="H6" s="64"/>
      <c r="I6" s="3"/>
      <c r="J6" s="2122" t="str">
        <f>Apresentação!I2</f>
        <v>RC-RSU V.1.0 - 15/10/2020</v>
      </c>
      <c r="K6" s="2257"/>
      <c r="L6" s="2257"/>
      <c r="M6" s="3"/>
      <c r="N6" s="3"/>
      <c r="O6" s="3"/>
      <c r="P6" s="3"/>
      <c r="Q6" s="3"/>
      <c r="R6" s="3"/>
      <c r="S6" s="3"/>
      <c r="T6" s="3"/>
    </row>
    <row r="7" spans="1:20" ht="18" customHeight="1" x14ac:dyDescent="0.3">
      <c r="A7" s="3"/>
      <c r="B7" s="2111" t="s">
        <v>544</v>
      </c>
      <c r="C7" s="2148"/>
      <c r="D7" s="2148"/>
      <c r="E7" s="2148"/>
      <c r="F7" s="2148"/>
      <c r="G7" s="2148"/>
      <c r="H7" s="2148"/>
      <c r="I7" s="3"/>
      <c r="J7" s="734"/>
      <c r="K7" s="734"/>
      <c r="L7" s="734"/>
      <c r="M7" s="3"/>
      <c r="N7" s="3"/>
      <c r="O7" s="3"/>
      <c r="P7" s="3"/>
      <c r="Q7" s="3"/>
      <c r="R7" s="3"/>
      <c r="S7" s="3"/>
      <c r="T7" s="3"/>
    </row>
    <row r="8" spans="1:20" ht="18" customHeight="1" x14ac:dyDescent="0.3">
      <c r="A8" s="3"/>
      <c r="B8" s="2119" t="s">
        <v>210</v>
      </c>
      <c r="C8" s="2119" t="s">
        <v>211</v>
      </c>
      <c r="D8" s="2111" t="s">
        <v>212</v>
      </c>
      <c r="E8" s="2119" t="s">
        <v>213</v>
      </c>
      <c r="F8" s="2118"/>
      <c r="G8" s="2118"/>
      <c r="H8" s="2118"/>
      <c r="I8" s="3"/>
      <c r="J8" s="3"/>
      <c r="K8" s="3"/>
      <c r="L8" s="3"/>
      <c r="M8" s="3"/>
      <c r="N8" s="3"/>
      <c r="O8" s="3"/>
      <c r="P8" s="14"/>
      <c r="Q8" s="3"/>
      <c r="R8" s="3"/>
      <c r="S8" s="3"/>
      <c r="T8" s="3"/>
    </row>
    <row r="9" spans="1:20" ht="18" customHeight="1" x14ac:dyDescent="0.3">
      <c r="A9" s="7"/>
      <c r="B9" s="2118"/>
      <c r="C9" s="2118"/>
      <c r="D9" s="2118"/>
      <c r="E9" s="2119" t="s">
        <v>214</v>
      </c>
      <c r="F9" s="2241" t="s">
        <v>25</v>
      </c>
      <c r="G9" s="2111" t="s">
        <v>215</v>
      </c>
      <c r="H9" s="2119" t="s">
        <v>216</v>
      </c>
      <c r="I9" s="7"/>
      <c r="J9" s="7"/>
      <c r="K9" s="7"/>
      <c r="L9" s="7"/>
      <c r="M9" s="7"/>
      <c r="N9" s="7"/>
      <c r="O9" s="7"/>
      <c r="P9" s="3"/>
      <c r="Q9" s="3"/>
      <c r="R9" s="7"/>
      <c r="S9" s="3"/>
      <c r="T9" s="3"/>
    </row>
    <row r="10" spans="1:20" ht="18" customHeight="1" x14ac:dyDescent="0.3">
      <c r="A10" s="7"/>
      <c r="B10" s="2118"/>
      <c r="C10" s="2118"/>
      <c r="D10" s="2118"/>
      <c r="E10" s="2118"/>
      <c r="F10" s="2118"/>
      <c r="G10" s="2118"/>
      <c r="H10" s="211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250</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250</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250</v>
      </c>
      <c r="C21" s="510" t="s">
        <v>751</v>
      </c>
      <c r="D21" s="223">
        <f>IF('R-Definição'!$I$24="Sim",'R-Definição'!$I$27,0)</f>
        <v>250</v>
      </c>
      <c r="E21" s="223">
        <f>'R-Definição'!O30</f>
        <v>19.9375</v>
      </c>
      <c r="F21" s="223">
        <f>'R-Definição'!L32</f>
        <v>109.22499999999999</v>
      </c>
      <c r="G21" s="223">
        <f>SUM('R-Definição'!O34:'R-Definição'!O35)</f>
        <v>120.83750000000001</v>
      </c>
      <c r="H21" s="21"/>
      <c r="I21" s="3"/>
      <c r="J21" s="3"/>
      <c r="K21" s="3"/>
      <c r="L21" s="3"/>
      <c r="M21" s="7"/>
      <c r="N21" s="7"/>
      <c r="O21" s="7"/>
      <c r="P21" s="7"/>
      <c r="Q21" s="7"/>
      <c r="R21" s="3"/>
      <c r="S21" s="3"/>
      <c r="T21" s="3"/>
    </row>
    <row r="22" spans="1:20" ht="18" customHeight="1" x14ac:dyDescent="0.3">
      <c r="A22" s="3"/>
      <c r="B22" s="745"/>
      <c r="C22" s="746" t="s">
        <v>218</v>
      </c>
      <c r="D22" s="740">
        <f>SUM(D19:D21)</f>
        <v>250</v>
      </c>
      <c r="E22" s="224">
        <f>SUM(E19:E21)</f>
        <v>19.9375</v>
      </c>
      <c r="F22" s="224">
        <f>SUM(F19:F21)</f>
        <v>109.22499999999999</v>
      </c>
      <c r="G22" s="224">
        <f>SUM(G19:G21)</f>
        <v>120.83750000000001</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59">
        <f>D29</f>
        <v>203.72499999999999</v>
      </c>
      <c r="C25" s="233" t="s">
        <v>732</v>
      </c>
      <c r="D25" s="223">
        <f>'R-Definição'!E49</f>
        <v>0</v>
      </c>
      <c r="E25" s="2242">
        <f>'R-Definição'!O49+'R-Definição'!O50</f>
        <v>86.583124999999995</v>
      </c>
      <c r="F25" s="2246"/>
      <c r="G25" s="2242">
        <f>'R-Definição'!O53</f>
        <v>61.1175</v>
      </c>
      <c r="H25" s="2242">
        <f>'R-Definição'!O55</f>
        <v>56.024374999999999</v>
      </c>
      <c r="I25" s="3"/>
      <c r="J25" s="3"/>
      <c r="K25" s="3"/>
      <c r="L25" s="3"/>
      <c r="M25" s="3"/>
      <c r="N25" s="3"/>
      <c r="O25" s="3"/>
      <c r="P25" s="3"/>
      <c r="Q25" s="3"/>
      <c r="R25" s="3"/>
      <c r="S25" s="3"/>
      <c r="T25" s="3"/>
    </row>
    <row r="26" spans="1:20" ht="18" customHeight="1" x14ac:dyDescent="0.3">
      <c r="A26" s="3"/>
      <c r="B26" s="2260"/>
      <c r="C26" s="233" t="s">
        <v>733</v>
      </c>
      <c r="D26" s="223">
        <f>'R-Definição'!E50</f>
        <v>0</v>
      </c>
      <c r="E26" s="2243"/>
      <c r="F26" s="2243"/>
      <c r="G26" s="2243"/>
      <c r="H26" s="2243"/>
      <c r="I26" s="3"/>
      <c r="J26" s="3"/>
      <c r="K26" s="3"/>
      <c r="L26" s="3"/>
      <c r="M26" s="3"/>
      <c r="N26" s="3"/>
      <c r="O26" s="3"/>
      <c r="P26" s="3"/>
      <c r="Q26" s="3"/>
      <c r="R26" s="3"/>
      <c r="S26" s="3"/>
      <c r="T26" s="3"/>
    </row>
    <row r="27" spans="1:20" ht="18" customHeight="1" x14ac:dyDescent="0.3">
      <c r="A27" s="3"/>
      <c r="B27" s="2260"/>
      <c r="C27" s="233" t="s">
        <v>545</v>
      </c>
      <c r="D27" s="223">
        <f>'R-Definição'!E51</f>
        <v>94.5</v>
      </c>
      <c r="E27" s="2243"/>
      <c r="F27" s="2243"/>
      <c r="G27" s="2243"/>
      <c r="H27" s="2243"/>
      <c r="I27" s="3"/>
      <c r="J27" s="3"/>
      <c r="K27" s="3"/>
      <c r="L27" s="3"/>
      <c r="M27" s="3"/>
      <c r="N27" s="3"/>
      <c r="O27" s="3"/>
      <c r="P27" s="3"/>
      <c r="Q27" s="3"/>
      <c r="R27" s="3"/>
      <c r="S27" s="3"/>
      <c r="T27" s="3"/>
    </row>
    <row r="28" spans="1:20" ht="18" customHeight="1" x14ac:dyDescent="0.3">
      <c r="A28" s="3"/>
      <c r="B28" s="2260"/>
      <c r="C28" s="233" t="s">
        <v>546</v>
      </c>
      <c r="D28" s="223">
        <f>'R-Definição'!E52</f>
        <v>109.22499999999999</v>
      </c>
      <c r="E28" s="2243"/>
      <c r="F28" s="2243"/>
      <c r="G28" s="2243"/>
      <c r="H28" s="2243"/>
      <c r="I28" s="3"/>
      <c r="J28" s="3"/>
      <c r="K28" s="3"/>
      <c r="L28" s="3"/>
      <c r="M28" s="3"/>
      <c r="N28" s="3"/>
      <c r="O28" s="3"/>
      <c r="P28" s="3"/>
      <c r="Q28" s="3"/>
      <c r="R28" s="3"/>
      <c r="S28" s="3"/>
      <c r="T28" s="3"/>
    </row>
    <row r="29" spans="1:20" ht="18" customHeight="1" x14ac:dyDescent="0.3">
      <c r="A29" s="3"/>
      <c r="B29" s="222"/>
      <c r="C29" s="746" t="s">
        <v>218</v>
      </c>
      <c r="D29" s="740">
        <f>SUM(D25:D28)</f>
        <v>203.72499999999999</v>
      </c>
      <c r="E29" s="224">
        <f>E25</f>
        <v>86.583124999999995</v>
      </c>
      <c r="F29" s="224"/>
      <c r="G29" s="224">
        <f>SUM(G25)</f>
        <v>61.1175</v>
      </c>
      <c r="H29" s="224">
        <f>SUM(H25:H28)</f>
        <v>56.024374999999999</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203.72499999999999</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5">
        <f>'R-Definição'!O67+'R-Definição'!O68</f>
        <v>0</v>
      </c>
      <c r="G34" s="2242">
        <f>'R-Definição'!O73</f>
        <v>0</v>
      </c>
      <c r="H34" s="2242">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44"/>
      <c r="G35" s="2244"/>
      <c r="H35" s="2244"/>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59">
        <f>'R-Definição'!E112</f>
        <v>0</v>
      </c>
      <c r="C39" s="507" t="s">
        <v>222</v>
      </c>
      <c r="D39" s="223">
        <f>'R-Definição'!E107</f>
        <v>0</v>
      </c>
      <c r="E39" s="2247">
        <f>'R-Definição'!O107+'R-Definição'!O108+'R-Definição'!O109</f>
        <v>0</v>
      </c>
      <c r="F39" s="2246"/>
      <c r="G39" s="2247">
        <f>'R-Definição'!O110</f>
        <v>0</v>
      </c>
      <c r="H39" s="2247">
        <f>'R-Definição'!O113</f>
        <v>0</v>
      </c>
      <c r="I39" s="3"/>
      <c r="J39" s="3"/>
      <c r="K39" s="3"/>
      <c r="L39" s="3"/>
      <c r="M39" s="3"/>
      <c r="N39" s="3"/>
      <c r="O39" s="3"/>
      <c r="P39" s="3"/>
      <c r="Q39" s="3"/>
      <c r="R39" s="3"/>
      <c r="S39" s="3"/>
      <c r="T39" s="3"/>
    </row>
    <row r="40" spans="1:20" ht="18" customHeight="1" x14ac:dyDescent="0.3">
      <c r="A40" s="3"/>
      <c r="B40" s="2198"/>
      <c r="C40" s="507" t="s">
        <v>752</v>
      </c>
      <c r="D40" s="223">
        <f>'R-Definição'!E108</f>
        <v>0</v>
      </c>
      <c r="E40" s="2244"/>
      <c r="F40" s="2244"/>
      <c r="G40" s="2244"/>
      <c r="H40" s="2244"/>
      <c r="I40" s="3"/>
      <c r="J40" s="3"/>
      <c r="K40" s="3"/>
      <c r="L40" s="3"/>
      <c r="M40" s="3"/>
      <c r="N40" s="3"/>
      <c r="O40" s="3"/>
      <c r="P40" s="3"/>
      <c r="Q40" s="3"/>
      <c r="R40" s="3"/>
      <c r="S40" s="3"/>
      <c r="T40" s="3"/>
    </row>
    <row r="41" spans="1:20" ht="18" customHeight="1" x14ac:dyDescent="0.3">
      <c r="A41" s="3"/>
      <c r="B41" s="2198"/>
      <c r="C41" s="507" t="s">
        <v>734</v>
      </c>
      <c r="D41" s="223">
        <f>'R-Definição'!E109</f>
        <v>0</v>
      </c>
      <c r="E41" s="2244"/>
      <c r="F41" s="2244"/>
      <c r="G41" s="2244"/>
      <c r="H41" s="2244"/>
      <c r="I41" s="3"/>
      <c r="J41" s="3"/>
      <c r="K41" s="3"/>
      <c r="L41" s="3"/>
      <c r="M41" s="3"/>
      <c r="N41" s="3"/>
      <c r="O41" s="3"/>
      <c r="P41" s="3"/>
      <c r="Q41" s="3"/>
      <c r="R41" s="3"/>
      <c r="S41" s="3"/>
      <c r="T41" s="3"/>
    </row>
    <row r="42" spans="1:20" ht="18" customHeight="1" x14ac:dyDescent="0.3">
      <c r="A42" s="3"/>
      <c r="B42" s="2198"/>
      <c r="C42" s="237" t="s">
        <v>819</v>
      </c>
      <c r="D42" s="223">
        <f>'R-Definição'!E110</f>
        <v>0</v>
      </c>
      <c r="E42" s="2244"/>
      <c r="F42" s="2244"/>
      <c r="G42" s="2244"/>
      <c r="H42" s="2244"/>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3">
        <f>'R-Definição'!E119</f>
        <v>87.455000000000013</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4"/>
      <c r="C48" s="1706" t="s">
        <v>547</v>
      </c>
      <c r="D48" s="1707">
        <f>'R-Definição'!N96</f>
        <v>26.337500000000006</v>
      </c>
      <c r="E48" s="6"/>
      <c r="F48" s="739"/>
      <c r="G48" s="221" t="s">
        <v>225</v>
      </c>
      <c r="H48" s="221" t="s">
        <v>22</v>
      </c>
      <c r="I48" s="3"/>
      <c r="J48" s="3"/>
      <c r="K48" s="3"/>
      <c r="L48" s="3"/>
      <c r="M48" s="3"/>
      <c r="N48" s="3"/>
      <c r="O48" s="3"/>
      <c r="P48" s="3"/>
      <c r="Q48" s="3"/>
      <c r="R48" s="3"/>
      <c r="S48" s="3"/>
      <c r="T48" s="3"/>
    </row>
    <row r="49" spans="1:20" ht="18" customHeight="1" x14ac:dyDescent="0.3">
      <c r="A49" s="3"/>
      <c r="B49" s="2254"/>
      <c r="C49" s="1706" t="s">
        <v>548</v>
      </c>
      <c r="D49" s="1707">
        <f>'R-Definição'!N98+'R-Definição'!N99+'R-Definição'!N97</f>
        <v>0</v>
      </c>
      <c r="E49" s="5"/>
      <c r="F49" s="233" t="s">
        <v>226</v>
      </c>
      <c r="G49" s="223">
        <f>D53</f>
        <v>87.455000000000013</v>
      </c>
      <c r="H49" s="878">
        <f>IF($G$52&lt;&gt;0,G49/$G$52*100,0)</f>
        <v>34.982000000000006</v>
      </c>
      <c r="I49" s="20"/>
      <c r="J49" s="3"/>
      <c r="K49" s="3"/>
      <c r="L49" s="3"/>
      <c r="M49" s="3"/>
      <c r="N49" s="3"/>
      <c r="O49" s="3"/>
      <c r="P49" s="3"/>
      <c r="Q49" s="3"/>
      <c r="R49" s="3"/>
      <c r="S49" s="3"/>
      <c r="T49" s="3"/>
    </row>
    <row r="50" spans="1:20" ht="18" customHeight="1" x14ac:dyDescent="0.3">
      <c r="A50" s="3"/>
      <c r="B50" s="2254"/>
      <c r="C50" s="1706" t="s">
        <v>549</v>
      </c>
      <c r="D50" s="1707">
        <f>'R-Definição'!O53</f>
        <v>61.1175</v>
      </c>
      <c r="E50" s="5"/>
      <c r="F50" s="233" t="s">
        <v>552</v>
      </c>
      <c r="G50" s="878">
        <f>E44+F36+E29+E22</f>
        <v>106.520625</v>
      </c>
      <c r="H50" s="878">
        <f>IF($G$52&lt;&gt;0,G50/$G$52*100,0)</f>
        <v>42.608249999999998</v>
      </c>
      <c r="I50" s="22"/>
      <c r="J50" s="3"/>
      <c r="K50" s="3"/>
      <c r="L50" s="3"/>
      <c r="M50" s="3"/>
      <c r="N50" s="3"/>
      <c r="O50" s="3"/>
      <c r="P50" s="3"/>
      <c r="Q50" s="3"/>
      <c r="R50" s="3"/>
      <c r="S50" s="3"/>
      <c r="T50" s="3"/>
    </row>
    <row r="51" spans="1:20" ht="18" customHeight="1" x14ac:dyDescent="0.3">
      <c r="A51" s="3"/>
      <c r="B51" s="2254"/>
      <c r="C51" s="1706" t="s">
        <v>550</v>
      </c>
      <c r="D51" s="1707">
        <f>'R-Definição'!O73</f>
        <v>0</v>
      </c>
      <c r="E51" s="3"/>
      <c r="F51" s="233" t="s">
        <v>227</v>
      </c>
      <c r="G51" s="878">
        <f>H29+H36+H44</f>
        <v>56.024374999999999</v>
      </c>
      <c r="H51" s="878">
        <f>IF($G$52&lt;&gt;0,G51/$G$52*100,0)</f>
        <v>22.409749999999999</v>
      </c>
      <c r="I51" s="3"/>
      <c r="J51" s="3"/>
      <c r="K51" s="3"/>
      <c r="L51" s="3"/>
      <c r="M51" s="3"/>
      <c r="N51" s="3"/>
      <c r="O51" s="3"/>
      <c r="P51" s="3"/>
      <c r="Q51" s="3"/>
      <c r="R51" s="3"/>
      <c r="S51" s="3"/>
      <c r="T51" s="3"/>
    </row>
    <row r="52" spans="1:20" ht="18" customHeight="1" x14ac:dyDescent="0.3">
      <c r="A52" s="3"/>
      <c r="B52" s="2255"/>
      <c r="C52" s="1706" t="s">
        <v>551</v>
      </c>
      <c r="D52" s="1707">
        <f>'R-Definição'!O110</f>
        <v>0</v>
      </c>
      <c r="E52" s="3"/>
      <c r="F52" s="752" t="s">
        <v>53</v>
      </c>
      <c r="G52" s="224">
        <f>SUM(G49:G51)</f>
        <v>250</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87.455000000000013</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1" t="s">
        <v>151</v>
      </c>
      <c r="C55" s="2148"/>
      <c r="D55" s="2111" t="s">
        <v>229</v>
      </c>
      <c r="E55" s="2178"/>
      <c r="F55" s="2178"/>
      <c r="G55" s="2178"/>
      <c r="H55" s="2178"/>
      <c r="I55" s="2178"/>
      <c r="J55" s="2178"/>
      <c r="K55" s="2178"/>
      <c r="L55" s="3"/>
      <c r="M55" s="3"/>
      <c r="N55" s="3"/>
      <c r="O55" s="3"/>
      <c r="P55" s="3"/>
      <c r="Q55" s="3"/>
      <c r="R55" s="3"/>
      <c r="S55" s="3"/>
      <c r="T55" s="3"/>
    </row>
    <row r="56" spans="1:20" ht="18" customHeight="1" x14ac:dyDescent="0.3">
      <c r="A56" s="3"/>
      <c r="B56" s="2148"/>
      <c r="C56" s="2148"/>
      <c r="D56" s="2252" t="s">
        <v>53</v>
      </c>
      <c r="E56" s="2252" t="s">
        <v>185</v>
      </c>
      <c r="F56" s="2249"/>
      <c r="G56" s="2249"/>
      <c r="H56" s="2248" t="s">
        <v>62</v>
      </c>
      <c r="I56" s="2248" t="s">
        <v>188</v>
      </c>
      <c r="J56" s="2248" t="s">
        <v>64</v>
      </c>
      <c r="K56" s="2248" t="s">
        <v>65</v>
      </c>
      <c r="L56" s="3"/>
      <c r="M56" s="3"/>
      <c r="N56" s="3"/>
      <c r="O56" s="3"/>
      <c r="P56" s="3"/>
      <c r="Q56" s="3"/>
      <c r="R56" s="3"/>
      <c r="S56" s="3"/>
      <c r="T56" s="3"/>
    </row>
    <row r="57" spans="1:20" ht="18" customHeight="1" x14ac:dyDescent="0.3">
      <c r="A57" s="3"/>
      <c r="B57" s="2251" t="s">
        <v>28</v>
      </c>
      <c r="C57" s="515" t="s">
        <v>21</v>
      </c>
      <c r="D57" s="2249"/>
      <c r="E57" s="515" t="s">
        <v>80</v>
      </c>
      <c r="F57" s="515" t="s">
        <v>87</v>
      </c>
      <c r="G57" s="515" t="s">
        <v>73</v>
      </c>
      <c r="H57" s="2249"/>
      <c r="I57" s="2249"/>
      <c r="J57" s="2249"/>
      <c r="K57" s="2249"/>
      <c r="L57" s="3"/>
      <c r="M57" s="3"/>
      <c r="N57" s="3"/>
      <c r="O57" s="3"/>
      <c r="P57" s="3"/>
      <c r="Q57" s="3"/>
      <c r="R57" s="3"/>
      <c r="S57" s="3"/>
      <c r="T57" s="3"/>
    </row>
    <row r="58" spans="1:20" ht="18" customHeight="1" x14ac:dyDescent="0.3">
      <c r="A58" s="3"/>
      <c r="B58" s="2251"/>
      <c r="C58" s="233" t="s">
        <v>74</v>
      </c>
      <c r="D58" s="223">
        <f t="shared" ref="D58:D64" si="0">SUM(E58:K58)</f>
        <v>8.1875</v>
      </c>
      <c r="E58" s="223">
        <f>'R-Definição'!M24</f>
        <v>0</v>
      </c>
      <c r="F58" s="223">
        <f>'R-Definição'!N24</f>
        <v>0</v>
      </c>
      <c r="G58" s="223">
        <f>'R-Definição'!O24</f>
        <v>8.1875</v>
      </c>
      <c r="H58" s="878"/>
      <c r="I58" s="877"/>
      <c r="J58" s="877"/>
      <c r="K58" s="877"/>
      <c r="L58" s="3"/>
      <c r="M58" s="3"/>
      <c r="N58" s="3"/>
      <c r="O58" s="3"/>
      <c r="P58" s="3"/>
      <c r="Q58" s="3"/>
      <c r="R58" s="3"/>
      <c r="S58" s="3"/>
      <c r="T58" s="3"/>
    </row>
    <row r="59" spans="1:20" ht="18" customHeight="1" x14ac:dyDescent="0.3">
      <c r="A59" s="3"/>
      <c r="B59" s="2251"/>
      <c r="C59" s="233" t="s">
        <v>29</v>
      </c>
      <c r="D59" s="223">
        <f t="shared" si="0"/>
        <v>5.5625</v>
      </c>
      <c r="E59" s="223">
        <f>'R-Definição'!M25</f>
        <v>0</v>
      </c>
      <c r="F59" s="223">
        <f>'R-Definição'!N25</f>
        <v>0</v>
      </c>
      <c r="G59" s="223">
        <f>'R-Definição'!O25</f>
        <v>5.5625</v>
      </c>
      <c r="H59" s="879"/>
      <c r="I59" s="880"/>
      <c r="J59" s="880"/>
      <c r="K59" s="880"/>
      <c r="L59" s="3"/>
      <c r="M59" s="3"/>
      <c r="N59" s="3"/>
      <c r="O59" s="3"/>
      <c r="P59" s="3"/>
      <c r="Q59" s="3"/>
      <c r="R59" s="3"/>
      <c r="S59" s="3"/>
      <c r="T59" s="3"/>
    </row>
    <row r="60" spans="1:20" ht="18" customHeight="1" x14ac:dyDescent="0.3">
      <c r="A60" s="3"/>
      <c r="B60" s="2251"/>
      <c r="C60" s="233" t="s">
        <v>78</v>
      </c>
      <c r="D60" s="223">
        <f t="shared" si="0"/>
        <v>2.875</v>
      </c>
      <c r="E60" s="223">
        <f>'R-Definição'!M26</f>
        <v>0</v>
      </c>
      <c r="F60" s="223">
        <f>'R-Definição'!N26</f>
        <v>0</v>
      </c>
      <c r="G60" s="223">
        <f>'R-Definição'!O26</f>
        <v>2.875</v>
      </c>
      <c r="H60" s="878"/>
      <c r="I60" s="877"/>
      <c r="J60" s="877"/>
      <c r="K60" s="877"/>
      <c r="L60" s="3"/>
      <c r="M60" s="3"/>
      <c r="N60" s="3"/>
      <c r="O60" s="3"/>
      <c r="P60" s="3"/>
      <c r="Q60" s="3"/>
      <c r="R60" s="3"/>
      <c r="S60" s="3"/>
      <c r="T60" s="3"/>
    </row>
    <row r="61" spans="1:20" ht="18" customHeight="1" x14ac:dyDescent="0.3">
      <c r="A61" s="3"/>
      <c r="B61" s="2251"/>
      <c r="C61" s="233" t="s">
        <v>31</v>
      </c>
      <c r="D61" s="223">
        <f t="shared" si="0"/>
        <v>1.5</v>
      </c>
      <c r="E61" s="223">
        <f>'R-Definição'!M27</f>
        <v>0</v>
      </c>
      <c r="F61" s="223">
        <f>'R-Definição'!N27</f>
        <v>0</v>
      </c>
      <c r="G61" s="223">
        <f>'R-Definição'!O27</f>
        <v>1.5</v>
      </c>
      <c r="H61" s="878"/>
      <c r="I61" s="877"/>
      <c r="J61" s="877"/>
      <c r="K61" s="877"/>
      <c r="L61" s="3"/>
      <c r="M61" s="3"/>
      <c r="N61" s="3"/>
      <c r="O61" s="3"/>
      <c r="P61" s="3"/>
      <c r="Q61" s="3"/>
      <c r="R61" s="3"/>
      <c r="S61" s="3"/>
      <c r="T61" s="3"/>
    </row>
    <row r="62" spans="1:20" ht="18" customHeight="1" x14ac:dyDescent="0.3">
      <c r="A62" s="3"/>
      <c r="B62" s="2251"/>
      <c r="C62" s="233" t="s">
        <v>32</v>
      </c>
      <c r="D62" s="223">
        <f t="shared" si="0"/>
        <v>1.4375</v>
      </c>
      <c r="E62" s="223">
        <f>'R-Definição'!M28</f>
        <v>0</v>
      </c>
      <c r="F62" s="223">
        <f>'R-Definição'!N28</f>
        <v>0</v>
      </c>
      <c r="G62" s="223">
        <f>'R-Definição'!O28</f>
        <v>1.4375</v>
      </c>
      <c r="H62" s="878"/>
      <c r="I62" s="877"/>
      <c r="J62" s="878">
        <f>'R-Definição'!O107</f>
        <v>0</v>
      </c>
      <c r="K62" s="877"/>
      <c r="L62" s="3"/>
      <c r="M62" s="3"/>
      <c r="N62" s="3"/>
      <c r="O62" s="3"/>
      <c r="P62" s="3"/>
      <c r="Q62" s="3"/>
      <c r="R62" s="3"/>
      <c r="S62" s="3"/>
      <c r="T62" s="3"/>
    </row>
    <row r="63" spans="1:20" ht="18" customHeight="1" x14ac:dyDescent="0.3">
      <c r="A63" s="3"/>
      <c r="B63" s="2251"/>
      <c r="C63" s="233" t="s">
        <v>84</v>
      </c>
      <c r="D63" s="223">
        <f t="shared" si="0"/>
        <v>0.375</v>
      </c>
      <c r="E63" s="223">
        <f>'R-Definição'!M29</f>
        <v>0</v>
      </c>
      <c r="F63" s="223">
        <f>'R-Definição'!N29</f>
        <v>0</v>
      </c>
      <c r="G63" s="223">
        <f>'R-Definição'!O29</f>
        <v>0.375</v>
      </c>
      <c r="H63" s="878"/>
      <c r="I63" s="877"/>
      <c r="J63" s="878">
        <f>'R-Definição'!O108</f>
        <v>0</v>
      </c>
      <c r="K63" s="877"/>
      <c r="L63" s="3"/>
      <c r="M63" s="3"/>
      <c r="N63" s="3"/>
      <c r="O63" s="3"/>
      <c r="P63" s="3"/>
      <c r="Q63" s="3"/>
      <c r="R63" s="3"/>
      <c r="S63" s="3"/>
      <c r="T63" s="3"/>
    </row>
    <row r="64" spans="1:20" ht="18" customHeight="1" x14ac:dyDescent="0.3">
      <c r="A64" s="3"/>
      <c r="B64" s="2251"/>
      <c r="C64" s="753" t="s">
        <v>513</v>
      </c>
      <c r="D64" s="241">
        <f t="shared" si="0"/>
        <v>19.9375</v>
      </c>
      <c r="E64" s="242">
        <f>SUM(E58:E63)</f>
        <v>0</v>
      </c>
      <c r="F64" s="242">
        <f>SUM(F58:F63)</f>
        <v>0</v>
      </c>
      <c r="G64" s="242">
        <f>SUM(G58:G63)</f>
        <v>19.9375</v>
      </c>
      <c r="H64" s="235"/>
      <c r="I64" s="517"/>
      <c r="J64" s="243">
        <f>SUM(J58:J63)</f>
        <v>0</v>
      </c>
      <c r="K64" s="517"/>
      <c r="L64" s="3"/>
      <c r="M64" s="3"/>
      <c r="N64" s="3"/>
      <c r="O64" s="3"/>
      <c r="P64" s="3"/>
      <c r="Q64" s="3"/>
      <c r="R64" s="3"/>
      <c r="S64" s="3"/>
      <c r="T64" s="3"/>
    </row>
    <row r="65" spans="1:20" ht="18" customHeight="1" x14ac:dyDescent="0.3">
      <c r="A65" s="3"/>
      <c r="B65" s="2251"/>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0"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1"/>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1"/>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1"/>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1"/>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1"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1"/>
      <c r="C72" s="233" t="s">
        <v>235</v>
      </c>
      <c r="D72" s="223">
        <f>SUM(E72:K72)</f>
        <v>86.583124999999995</v>
      </c>
      <c r="E72" s="877"/>
      <c r="F72" s="877"/>
      <c r="G72" s="877"/>
      <c r="H72" s="878">
        <f>'R-Definição'!O50</f>
        <v>86.583124999999995</v>
      </c>
      <c r="I72" s="877"/>
      <c r="J72" s="877"/>
      <c r="K72" s="877"/>
      <c r="L72" s="3"/>
      <c r="M72" s="3"/>
      <c r="N72" s="3"/>
      <c r="O72" s="3"/>
      <c r="P72" s="3"/>
      <c r="Q72" s="3"/>
      <c r="R72" s="3"/>
      <c r="S72" s="3"/>
      <c r="T72" s="3"/>
    </row>
    <row r="73" spans="1:20" ht="18" customHeight="1" x14ac:dyDescent="0.3">
      <c r="A73" s="3"/>
      <c r="B73" s="2251"/>
      <c r="C73" s="515" t="s">
        <v>555</v>
      </c>
      <c r="D73" s="241">
        <f>SUM(D71:D72)</f>
        <v>86.583124999999995</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94"/>
      <c r="F2" s="2194"/>
      <c r="G2" s="219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55"/>
      <c r="F3" s="2155"/>
      <c r="G3" s="215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96"/>
      <c r="S5" s="2196"/>
      <c r="T5" s="2196"/>
      <c r="U5" s="2196"/>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2" t="str">
        <f>Apresentação!I2</f>
        <v>RC-RSU V.1.0 - 15/10/2020</v>
      </c>
      <c r="R6" s="2122"/>
      <c r="S6" s="2122"/>
      <c r="T6" s="2196"/>
      <c r="U6" s="2196"/>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78250</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8.1875</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8.4375</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1.5</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1.4375</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0.375</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60"/>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0</v>
      </c>
      <c r="R17" s="807" t="s">
        <v>195</v>
      </c>
      <c r="S17" s="839">
        <f>Y18-(SUM(Z18:AC18))</f>
        <v>0</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0</v>
      </c>
      <c r="R18" s="767" t="s">
        <v>195</v>
      </c>
      <c r="S18" s="760">
        <f>Y19-(SUM(Z19:AC19))</f>
        <v>0</v>
      </c>
      <c r="T18" s="852" t="s">
        <v>21</v>
      </c>
      <c r="U18" s="754"/>
      <c r="V18" s="476"/>
      <c r="W18" s="507" t="s">
        <v>247</v>
      </c>
      <c r="X18" s="786"/>
      <c r="Y18" s="254">
        <f>'R-Definição'!$D$14+'R-Definição'!$O$32</f>
        <v>102.85</v>
      </c>
      <c r="Z18" s="254">
        <f>IF('R-Definição'!I29="Biosecagem CDR",'R-Definição'!O32,0)</f>
        <v>102.85</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6.375</v>
      </c>
      <c r="Z19" s="254">
        <f>IF('R-Definição'!I29="Biosecagem CDR",'R-Definição'!O33,0)</f>
        <v>6.375</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11.447976093452869</v>
      </c>
      <c r="J33" s="255" t="s">
        <v>195</v>
      </c>
      <c r="K33" s="254">
        <f>IF(OR(AND('R-Definição'!E122="Rota atual",'R-Definição'!E123="Aterro sanitário"),'R-Definição'!E122="Rota Futura"),'R-Definição'!N95+'R-Definição'!N96+'R-Definição'!N97+'R-Definição'!N98+'R-Definição'!N99,0)</f>
        <v>26.337500000000006</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88.552023906547134</v>
      </c>
      <c r="J38" s="255" t="s">
        <v>195</v>
      </c>
      <c r="K38" s="254">
        <f>IF('R-Definição'!I29="Biosecagem CDR",'R-Definição'!I52+SUM(AC18:AC19),'R-Definição'!I52)</f>
        <v>203.72499999999999</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230.0625</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34"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28"/>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250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720.30140335170802</v>
      </c>
      <c r="V7" s="992">
        <f>L59</f>
        <v>0</v>
      </c>
      <c r="W7" s="992">
        <f>L62</f>
        <v>1283.6184102356206</v>
      </c>
      <c r="X7" s="992">
        <f>L65</f>
        <v>0</v>
      </c>
      <c r="Y7" s="992">
        <f>L68</f>
        <v>0</v>
      </c>
      <c r="Z7" s="992">
        <f>L71</f>
        <v>0</v>
      </c>
      <c r="AA7" s="992">
        <f>L74</f>
        <v>184.79730023814099</v>
      </c>
      <c r="AB7" s="1622"/>
    </row>
    <row r="8" spans="1:28" s="2017" customFormat="1" ht="17.55" customHeight="1" x14ac:dyDescent="0.3">
      <c r="A8" s="1735"/>
      <c r="B8" s="2063" t="s">
        <v>297</v>
      </c>
      <c r="C8" s="2018" t="s">
        <v>298</v>
      </c>
      <c r="D8" s="2019">
        <f>D40</f>
        <v>78000</v>
      </c>
      <c r="E8" s="1735"/>
      <c r="F8" s="2063" t="s">
        <v>562</v>
      </c>
      <c r="G8" s="2018" t="s">
        <v>292</v>
      </c>
      <c r="H8" s="2015">
        <f>O78</f>
        <v>20.908417460168479</v>
      </c>
      <c r="I8" s="1735"/>
      <c r="J8" s="1735"/>
      <c r="K8" s="2016"/>
      <c r="L8" s="1735"/>
      <c r="M8" s="1735"/>
      <c r="N8" s="1735"/>
      <c r="O8" s="1735"/>
      <c r="P8" s="1735"/>
      <c r="Q8" s="1735"/>
      <c r="R8" s="991" t="s">
        <v>300</v>
      </c>
      <c r="S8" s="1623">
        <v>0</v>
      </c>
      <c r="T8" s="993">
        <f>L52</f>
        <v>0</v>
      </c>
      <c r="U8" s="993">
        <f>L55</f>
        <v>718.00012091288465</v>
      </c>
      <c r="V8" s="993">
        <f>L58</f>
        <v>0</v>
      </c>
      <c r="W8" s="993">
        <f>L61</f>
        <v>1256.1221184935798</v>
      </c>
      <c r="X8" s="993">
        <f>L64</f>
        <v>0</v>
      </c>
      <c r="Y8" s="993">
        <f>L67</f>
        <v>0</v>
      </c>
      <c r="Z8" s="993">
        <f>L70</f>
        <v>0</v>
      </c>
      <c r="AA8" s="993">
        <f>L73</f>
        <v>312.31035490169035</v>
      </c>
      <c r="AB8" s="1622"/>
    </row>
    <row r="9" spans="1:28" s="2017" customFormat="1" ht="17.55" customHeight="1" x14ac:dyDescent="0.3">
      <c r="A9" s="1735"/>
      <c r="B9" s="2064" t="s">
        <v>558</v>
      </c>
      <c r="C9" s="2020" t="s">
        <v>298</v>
      </c>
      <c r="D9" s="2022">
        <f>D44</f>
        <v>27285.960000000003</v>
      </c>
      <c r="E9" s="1735"/>
      <c r="F9" s="2064" t="s">
        <v>936</v>
      </c>
      <c r="G9" s="2020" t="s">
        <v>292</v>
      </c>
      <c r="H9" s="2023">
        <f>IF('R-Definição'!$E$121="Existente",((D88+D89)*D44+(D89*D11))/1000000,((D85+D88)*D44+(D89*D11))/1000000)</f>
        <v>1.3642980000000002</v>
      </c>
      <c r="I9" s="1735"/>
      <c r="J9" s="1735"/>
      <c r="K9" s="2016"/>
      <c r="L9" s="1735"/>
      <c r="M9" s="1735"/>
      <c r="N9" s="1735"/>
      <c r="O9" s="1735"/>
      <c r="P9" s="1735"/>
      <c r="Q9" s="1735"/>
      <c r="R9" s="991" t="s">
        <v>301</v>
      </c>
      <c r="S9" s="1623">
        <f>L92</f>
        <v>42.8</v>
      </c>
      <c r="T9" s="992">
        <f>P53</f>
        <v>0</v>
      </c>
      <c r="U9" s="992">
        <f>P56</f>
        <v>118.96751469307694</v>
      </c>
      <c r="V9" s="992">
        <f>P59</f>
        <v>0</v>
      </c>
      <c r="W9" s="992">
        <f>P62</f>
        <v>78.791799154235648</v>
      </c>
      <c r="X9" s="992">
        <f>P65</f>
        <v>0</v>
      </c>
      <c r="Y9" s="992">
        <f>P68</f>
        <v>0</v>
      </c>
      <c r="Z9" s="992">
        <f>P71</f>
        <v>0</v>
      </c>
      <c r="AA9" s="992">
        <f>IF('R-Definição'!E121="Novo",P74,(D44+D46)*D89/D40)</f>
        <v>70.297320257411499</v>
      </c>
      <c r="AB9" s="1622"/>
    </row>
    <row r="10" spans="1:28" s="2017" customFormat="1" ht="17.55" customHeight="1" x14ac:dyDescent="0.3">
      <c r="A10" s="1735"/>
      <c r="B10" s="2063" t="s">
        <v>715</v>
      </c>
      <c r="C10" s="2018" t="s">
        <v>195</v>
      </c>
      <c r="D10" s="2024">
        <f>D45</f>
        <v>0.65017999999999987</v>
      </c>
      <c r="E10" s="1735"/>
      <c r="F10" s="2064" t="str">
        <f>IF(D24="Sim","Custo Total Rota Tecnológica COM Coleta","Custo Total Rota Tecnológica SEM Coleta")</f>
        <v>Custo Total Rota Tecnológica SEM Coleta</v>
      </c>
      <c r="G10" s="2020" t="s">
        <v>292</v>
      </c>
      <c r="H10" s="2025">
        <f>H6+H8+H9</f>
        <v>22.272715460168481</v>
      </c>
      <c r="I10" s="1735"/>
      <c r="J10" s="1735"/>
      <c r="K10" s="2016"/>
      <c r="L10" s="1735"/>
      <c r="M10" s="1735"/>
      <c r="N10" s="1735"/>
      <c r="O10" s="1735"/>
      <c r="P10" s="1735"/>
      <c r="Q10" s="1735"/>
      <c r="R10" s="991" t="s">
        <v>302</v>
      </c>
      <c r="S10" s="1623">
        <v>0</v>
      </c>
      <c r="T10" s="993">
        <f>P52</f>
        <v>0</v>
      </c>
      <c r="U10" s="993">
        <f>P55</f>
        <v>118.58742678670927</v>
      </c>
      <c r="V10" s="993">
        <f>P58</f>
        <v>0</v>
      </c>
      <c r="W10" s="993">
        <f>P61</f>
        <v>77.104006053770945</v>
      </c>
      <c r="X10" s="993">
        <f>P64</f>
        <v>0</v>
      </c>
      <c r="Y10" s="993">
        <f>P67</f>
        <v>0</v>
      </c>
      <c r="Z10" s="993">
        <f>P70</f>
        <v>0</v>
      </c>
      <c r="AA10" s="992">
        <f>IF('R-Definição'!E121="Novo",P73,D89)</f>
        <v>118.8035810584785</v>
      </c>
      <c r="AB10" s="1622"/>
    </row>
    <row r="11" spans="1:28" s="2017" customFormat="1" ht="17.55"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0</v>
      </c>
      <c r="W11" s="994">
        <f>IF(W12&gt;0,($L45*$D112+$L47*$D111)/(W12*312),0)</f>
        <v>36.744715122167278</v>
      </c>
      <c r="X11" s="994">
        <f>IF(X12&gt;0,($P42*$D114+$P45*$D117)/(X12*312),0)</f>
        <v>0</v>
      </c>
      <c r="Y11" s="994">
        <f>IF(Y12&gt;0,($L48*$D108+$L49*$D109)/(Y12*312),0)</f>
        <v>0</v>
      </c>
      <c r="Z11" s="994">
        <f>IF(Z12&gt;0,($P43*$D114)/(Z12*312),0)</f>
        <v>0</v>
      </c>
      <c r="AA11" s="994">
        <f>IF(AA12&gt;0,($P44*$D114+$P46*$D117)/(AA12*312),0)</f>
        <v>0</v>
      </c>
      <c r="AB11" s="1622"/>
    </row>
    <row r="12" spans="1:28" s="2017" customFormat="1" ht="17.55" customHeight="1" x14ac:dyDescent="0.3">
      <c r="A12" s="1735"/>
      <c r="B12" s="2063" t="s">
        <v>560</v>
      </c>
      <c r="C12" s="2018" t="s">
        <v>195</v>
      </c>
      <c r="D12" s="2024">
        <f>(D16)/D8</f>
        <v>8.6464214998186198E-2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22.272715460168481</v>
      </c>
      <c r="I12" s="1735"/>
      <c r="J12" s="1735"/>
      <c r="K12" s="2016"/>
      <c r="L12" s="1735"/>
      <c r="M12" s="1735"/>
      <c r="N12" s="1735"/>
      <c r="O12" s="1735"/>
      <c r="P12" s="1735"/>
      <c r="Q12" s="1735"/>
      <c r="R12" s="991" t="s">
        <v>303</v>
      </c>
      <c r="S12" s="1623">
        <f>D38</f>
        <v>250</v>
      </c>
      <c r="T12" s="992">
        <f>$H52/312</f>
        <v>0</v>
      </c>
      <c r="U12" s="992">
        <f>$H55/312</f>
        <v>250.80128205128204</v>
      </c>
      <c r="V12" s="992">
        <f>$H58/312</f>
        <v>0</v>
      </c>
      <c r="W12" s="992">
        <f>$H61/312</f>
        <v>255.47245592948718</v>
      </c>
      <c r="X12" s="992">
        <f>$H64/312</f>
        <v>0</v>
      </c>
      <c r="Y12" s="992">
        <f>$H67/312</f>
        <v>0</v>
      </c>
      <c r="Z12" s="992">
        <f>$H70/312</f>
        <v>0</v>
      </c>
      <c r="AA12" s="992">
        <f>(D44+D46)/312</f>
        <v>87.455000000000013</v>
      </c>
      <c r="AB12" s="1622"/>
    </row>
    <row r="13" spans="1:28" s="2017" customFormat="1" ht="17.55" customHeight="1" thickBot="1" x14ac:dyDescent="0.35">
      <c r="A13" s="1735"/>
      <c r="B13" s="2065" t="s">
        <v>937</v>
      </c>
      <c r="C13" s="2026" t="s">
        <v>195</v>
      </c>
      <c r="D13" s="2027">
        <f>D16/((SUM('R-Entrada'!G28:G33))*312)</f>
        <v>0.27104769591907901</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285.54763410472412</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6744.2087698585237</v>
      </c>
      <c r="E16" s="65"/>
      <c r="F16" s="2063" t="s">
        <v>565</v>
      </c>
      <c r="G16" s="2031" t="s">
        <v>304</v>
      </c>
      <c r="H16" s="2015">
        <f>K78</f>
        <v>170.71993487838662</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0.31332384130554097</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0</v>
      </c>
      <c r="E18" s="65"/>
      <c r="F18" s="2064" t="s">
        <v>568</v>
      </c>
      <c r="G18" s="2029" t="s">
        <v>305</v>
      </c>
      <c r="H18" s="2022">
        <f>H24*1000000/D40</f>
        <v>2850.2518019581116</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29288.259357831055</v>
      </c>
      <c r="E19" s="65"/>
      <c r="F19" s="2064" t="str">
        <f>J77</f>
        <v>Reinvestimento Total Rota (cada 5 anos)</v>
      </c>
      <c r="G19" s="2033" t="s">
        <v>304</v>
      </c>
      <c r="H19" s="2034">
        <f>K77</f>
        <v>2.8856891652054371</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0</v>
      </c>
      <c r="E20" s="65"/>
      <c r="F20" s="2066" t="s">
        <v>571</v>
      </c>
      <c r="G20" s="2035" t="s">
        <v>304</v>
      </c>
      <c r="H20" s="2036">
        <f>K75</f>
        <v>17.942789438804581</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222.31964055273269</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53</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-177.26971926605103</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1110</v>
      </c>
      <c r="C28" s="2033" t="s">
        <v>292</v>
      </c>
      <c r="D28" s="2047">
        <v>1</v>
      </c>
      <c r="E28" s="1735"/>
      <c r="F28" s="2064" t="str">
        <f>'C-FCL Real'!K27</f>
        <v>Índice de Retorno do Inv.: TIR</v>
      </c>
      <c r="G28" s="2033" t="s">
        <v>195</v>
      </c>
      <c r="H28" s="2048">
        <f>'C-FCL Real'!H9</f>
        <v>2.0037250489984464</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1111</v>
      </c>
      <c r="C29" s="2033" t="s">
        <v>304</v>
      </c>
      <c r="D29" s="2047">
        <v>0</v>
      </c>
      <c r="E29" s="1735"/>
      <c r="F29" s="2073" t="str">
        <f>'C-FCL Real'!O26</f>
        <v>Taxa de Lucratividade do Investimento</v>
      </c>
      <c r="G29" s="2049" t="s">
        <v>195</v>
      </c>
      <c r="H29" s="2050">
        <f>'C-FCL Real'!H14</f>
        <v>0.20263581379799925</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1112</v>
      </c>
      <c r="C30" s="2051" t="s">
        <v>304</v>
      </c>
      <c r="D30" s="2052">
        <v>0</v>
      </c>
      <c r="E30" s="1735"/>
      <c r="F30" s="2074" t="s">
        <v>955</v>
      </c>
      <c r="G30" s="2061" t="s">
        <v>311</v>
      </c>
      <c r="H30" s="2062">
        <f>D32*(D8*H33+D31*312*H31)/1000000000</f>
        <v>0.9483105087801299</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118.8035810584785</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13.681317956979463</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292.94394556662456</v>
      </c>
      <c r="E33" s="1079"/>
      <c r="F33" s="2078" t="s">
        <v>1108</v>
      </c>
      <c r="G33" s="2055" t="s">
        <v>295</v>
      </c>
      <c r="H33" s="2056">
        <v>318.85362727861343</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6744.2087698585237</v>
      </c>
      <c r="I36" s="151"/>
      <c r="J36" s="1520" t="s">
        <v>898</v>
      </c>
      <c r="K36" s="271" t="s">
        <v>298</v>
      </c>
      <c r="L36" s="1531">
        <f>('R-Resumo Bal. Massa'!F58+'R-Resumo Bal. Massa'!G58)*312*D48/D8</f>
        <v>2769.5653569011492</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0.51919384771265653</v>
      </c>
      <c r="E37" s="151"/>
      <c r="F37" s="1520" t="s">
        <v>892</v>
      </c>
      <c r="G37" s="1483" t="s">
        <v>298</v>
      </c>
      <c r="H37" s="1531">
        <f>L48</f>
        <v>0</v>
      </c>
      <c r="I37" s="151"/>
      <c r="J37" s="1520" t="s">
        <v>899</v>
      </c>
      <c r="K37" s="1483" t="s">
        <v>298</v>
      </c>
      <c r="L37" s="1531">
        <f>('R-Resumo Bal. Massa'!F59+'R-Resumo Bal. Massa'!G59)*312*D48/D8</f>
        <v>1881.6131050702463</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250</v>
      </c>
      <c r="E38" s="151"/>
      <c r="F38" s="1520" t="s">
        <v>893</v>
      </c>
      <c r="G38" s="1483" t="s">
        <v>298</v>
      </c>
      <c r="H38" s="1531">
        <f>L49</f>
        <v>0</v>
      </c>
      <c r="I38" s="151"/>
      <c r="J38" s="1520" t="s">
        <v>900</v>
      </c>
      <c r="K38" s="1483" t="s">
        <v>298</v>
      </c>
      <c r="L38" s="1531">
        <f>('R-Resumo Bal. Massa'!F60+'R-Resumo Bal. Massa'!G60)*312*D48/D8</f>
        <v>972.51913295765542</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6500</v>
      </c>
      <c r="E39" s="151"/>
      <c r="F39" s="1520" t="s">
        <v>894</v>
      </c>
      <c r="G39" s="1483" t="s">
        <v>298</v>
      </c>
      <c r="H39" s="1531">
        <f>L44+L45</f>
        <v>29288.259357831055</v>
      </c>
      <c r="I39" s="151"/>
      <c r="J39" s="1520" t="s">
        <v>901</v>
      </c>
      <c r="K39" s="1483" t="s">
        <v>298</v>
      </c>
      <c r="L39" s="1531">
        <f>('R-Resumo Bal. Massa'!F61+'R-Resumo Bal. Massa'!G61)*312*D48/D8</f>
        <v>507.40128676051592</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78000</v>
      </c>
      <c r="E40" s="151"/>
      <c r="F40" s="1520" t="s">
        <v>895</v>
      </c>
      <c r="G40" s="1483" t="s">
        <v>298</v>
      </c>
      <c r="H40" s="1531">
        <f>L46+L47</f>
        <v>0</v>
      </c>
      <c r="I40" s="151"/>
      <c r="J40" s="1520" t="s">
        <v>902</v>
      </c>
      <c r="K40" s="1483" t="s">
        <v>298</v>
      </c>
      <c r="L40" s="1531">
        <f>('R-Resumo Bal. Massa'!F63+'R-Resumo Bal. Massa'!G63)*312*D48/D8</f>
        <v>126.85032169012898</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486.25956647882771</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78000</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27285.960000000003</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0.65017999999999987</v>
      </c>
      <c r="E45" s="268"/>
      <c r="F45" s="1520"/>
      <c r="G45" s="1483"/>
      <c r="H45" s="1531"/>
      <c r="I45" s="268"/>
      <c r="J45" s="1520" t="s">
        <v>907</v>
      </c>
      <c r="K45" s="1483" t="s">
        <v>298</v>
      </c>
      <c r="L45" s="1531">
        <f>IF('R-Definição'!I52&gt;0,('R-Definição'!I49-'R-Definição'!O53-'R-Definição'!O55)*'R-Definição'!L50/100*312,0)*D48/D8</f>
        <v>29288.259357831055</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84566.881126752647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customHeight="1" outlineLevel="1" x14ac:dyDescent="0.3">
      <c r="A55" s="44"/>
      <c r="B55" s="1520" t="s">
        <v>583</v>
      </c>
      <c r="C55" s="1483" t="s">
        <v>760</v>
      </c>
      <c r="D55" s="1565">
        <v>0</v>
      </c>
      <c r="E55" s="194"/>
      <c r="F55" s="1097" t="s">
        <v>326</v>
      </c>
      <c r="G55" s="1097" t="str">
        <f>'C-Triagem Mec'!L2</f>
        <v>Sim</v>
      </c>
      <c r="H55" s="1097">
        <f>IF('C-Triagem Mec'!D2&gt;0,'C-Triagem Mec'!H2,0)</f>
        <v>78250</v>
      </c>
      <c r="I55" s="679"/>
      <c r="J55" s="1097" t="s">
        <v>326</v>
      </c>
      <c r="K55" s="1624">
        <f>IF('C-Triagem Mec'!$E$7="SIM",'C-Triagem Mec'!$E$19,IF('C-Triagem Mec'!$I$7="SIM",'C-Triagem Mec'!$I$19,IF('C-Triagem Mec'!$M$7="SIM",'C-Triagem Mec'!$M$19,IF('C-Triagem Mec'!$Q$7="SIM",'C-Triagem Mec'!$Q$19,IF('C-Triagem Mec'!$U$7="SIM",'C-Triagem Mec'!$U$19,0)))))</f>
        <v>56.183509461433225</v>
      </c>
      <c r="L55" s="1097">
        <f>IF('C-Triagem Mec'!$E$7="SIM",'C-Triagem Mec'!$E$20,IF('C-Triagem Mec'!$I$7="SIM",'C-Triagem Mec'!$I$20,IF('C-Triagem Mec'!$M$7="SIM",'C-Triagem Mec'!$M$20,IF('C-Triagem Mec'!$Q$7="SIM",'C-Triagem Mec'!$Q$20,IF('C-Triagem Mec'!$U$7="SIM",'C-Triagem Mec'!$U$20,0)))))</f>
        <v>718.00012091288465</v>
      </c>
      <c r="M55" s="194"/>
      <c r="N55" s="1097" t="s">
        <v>326</v>
      </c>
      <c r="O55" s="1624">
        <f>IF('C-Triagem Mec'!$E$7="SIM",'C-Triagem Mec'!$E$43,IF('C-Triagem Mec'!$I$7="SIM",'C-Triagem Mec'!$I$43,IF('C-Triagem Mec'!$M$7="SIM",'C-Triagem Mec'!$M$43,IF('C-Triagem Mec'!$Q$7="SIM",'C-Triagem Mec'!$Q$43,IF('C-Triagem Mec'!$U$7="SIM",'C-Triagem Mec'!$U$43,0)))))</f>
        <v>9.2794661460600008</v>
      </c>
      <c r="P55" s="1097">
        <f>IF('C-Triagem Mec'!$E$7="SIM",'C-Triagem Mec'!$E$42,IF('C-Triagem Mec'!$I$7="SIM",'C-Triagem Mec'!$I$42,IF('C-Triagem Mec'!$M$7="SIM",'C-Triagem Mec'!$M$42,IF('C-Triagem Mec'!$Q$7="SIM",'C-Triagem Mec'!$Q$42,IF('C-Triagem Mec'!$U$7="SIM",'C-Triagem Mec'!$U$42,0)))))</f>
        <v>118.58742678670927</v>
      </c>
      <c r="Q55" s="194"/>
      <c r="R55" s="988"/>
      <c r="S55" s="989"/>
      <c r="T55" s="989"/>
      <c r="U55" s="989"/>
      <c r="V55" s="989"/>
      <c r="W55" s="989"/>
      <c r="X55" s="989"/>
      <c r="Y55" s="989"/>
      <c r="Z55" s="1597"/>
    </row>
    <row r="56" spans="1:26" ht="17.7"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720.30140335170802</v>
      </c>
      <c r="M56" s="194"/>
      <c r="N56" s="1520" t="s">
        <v>323</v>
      </c>
      <c r="O56" s="278">
        <f>IF(AND(H55&gt;0,D98="Não"),((L36*D101)+(L37*D102)+(L38*D103)+(L39*D104)+(L40*D106)+(L41*D105))/$D$40,((L36*D101)+(L37*D102)+(L38*D103)+(L39*D104)+(L40*D106)+(L41*D105))/$D$40*(1-D99))</f>
        <v>0</v>
      </c>
      <c r="P56" s="1506">
        <f>IF(O55&gt;0,O55*1000000/$D$40,0)</f>
        <v>118.96751469307694</v>
      </c>
      <c r="Q56" s="194"/>
      <c r="R56" s="988"/>
      <c r="S56" s="989"/>
      <c r="T56" s="989"/>
      <c r="U56" s="989"/>
      <c r="V56" s="989"/>
      <c r="W56" s="989"/>
      <c r="X56" s="989"/>
      <c r="Y56" s="989"/>
      <c r="Z56" s="1597"/>
    </row>
    <row r="57" spans="1:26" ht="17.7"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1.1006181818440726</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83.683912409712477</v>
      </c>
      <c r="Q57" s="194"/>
      <c r="R57" s="988"/>
      <c r="S57" s="989"/>
      <c r="T57" s="989"/>
      <c r="U57" s="989"/>
      <c r="V57" s="989"/>
      <c r="W57" s="989"/>
      <c r="X57" s="989"/>
      <c r="Y57" s="989"/>
      <c r="Z57" s="1597"/>
    </row>
    <row r="58" spans="1:26" ht="17.7" customHeight="1" outlineLevel="1" x14ac:dyDescent="0.3">
      <c r="A58" s="43"/>
      <c r="B58" s="1520" t="s">
        <v>1115</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customHeight="1" outlineLevel="1" x14ac:dyDescent="0.3">
      <c r="A61" s="43"/>
      <c r="B61" s="1520" t="s">
        <v>588</v>
      </c>
      <c r="C61" s="1482" t="s">
        <v>195</v>
      </c>
      <c r="D61" s="1530">
        <v>0</v>
      </c>
      <c r="E61" s="194"/>
      <c r="F61" s="1097" t="s">
        <v>483</v>
      </c>
      <c r="G61" s="1097" t="str">
        <f>'C-Produção CDR-TMB'!L2</f>
        <v>Sim</v>
      </c>
      <c r="H61" s="1097">
        <f>IF('C-Produção CDR-TMB'!D2&gt;0,'C-Produção CDR-TMB'!H2,0)</f>
        <v>79707.40625</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100.1222359983784</v>
      </c>
      <c r="L61" s="1624">
        <f>IF('C-Produção CDR-TMB'!$E$7="SIM",'C-Produção CDR-TMB'!$E$20,IF('C-Produção CDR-TMB'!$I$7="SIM",'C-Produção CDR-TMB'!$I$20,IF('C-Produção CDR-TMB'!$M$7="SIM",'C-Produção CDR-TMB'!$M$20,IF('C-Produção CDR-TMB'!$Q$7="SIM",'C-Produção CDR-TMB'!$Q$20,IF('C-Produção CDR-TMB'!$U$7="SIM",'C-Produção CDR-TMB'!$U$20,0)))))</f>
        <v>1256.1221184935798</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6.1457603340303804</v>
      </c>
      <c r="P61" s="1624">
        <f>IF('C-Produção CDR-TMB'!$E$7="SIM",'C-Produção CDR-TMB'!$E$42,IF('C-Produção CDR-TMB'!$I$7="SIM",'C-Produção CDR-TMB'!$I$42,IF('C-Produção CDR-TMB'!$M$7="SIM",'C-Produção CDR-TMB'!$M$42,IF('C-Produção CDR-TMB'!$Q$7="SIM",'C-Produção CDR-TMB'!$Q$42,IF('C-Produção CDR-TMB'!$U$7="SIM",'C-Produção CDR-TMB'!$U$42,0)))))</f>
        <v>77.104006053770945</v>
      </c>
      <c r="Q61" s="194"/>
      <c r="R61" s="988"/>
      <c r="S61" s="989"/>
      <c r="T61" s="989"/>
      <c r="U61" s="989"/>
      <c r="V61" s="989"/>
      <c r="W61" s="989"/>
      <c r="X61" s="989"/>
      <c r="Y61" s="989"/>
      <c r="Z61" s="1597"/>
    </row>
    <row r="62" spans="1:26" ht="17.7"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1283.6184102356206</v>
      </c>
      <c r="M62" s="194"/>
      <c r="N62" s="1520" t="s">
        <v>323</v>
      </c>
      <c r="O62" s="278">
        <f>IF(H61&gt;0,((L45*D112)+(L47*D111))/$D$40,0)</f>
        <v>37.549050458757762</v>
      </c>
      <c r="P62" s="1506">
        <f>IF(O61&gt;0,O61*1000000/$D$40,0)</f>
        <v>78.791799154235648</v>
      </c>
      <c r="Q62" s="194"/>
      <c r="R62" s="988"/>
      <c r="S62" s="989"/>
      <c r="T62" s="989"/>
      <c r="U62" s="989"/>
      <c r="V62" s="989"/>
      <c r="W62" s="989"/>
      <c r="X62" s="989"/>
      <c r="Y62" s="989"/>
      <c r="Z62" s="1597"/>
    </row>
    <row r="63" spans="1:26" ht="17.7" customHeight="1" outlineLevel="1" x14ac:dyDescent="0.3">
      <c r="A63" s="43"/>
      <c r="B63" s="1520" t="s">
        <v>600</v>
      </c>
      <c r="C63" s="272" t="s">
        <v>328</v>
      </c>
      <c r="D63" s="1567">
        <v>20000</v>
      </c>
      <c r="E63" s="269"/>
      <c r="F63" s="1520" t="s">
        <v>591</v>
      </c>
      <c r="G63" s="264">
        <f>IF('C-Produção CDR-TMB'!$E$7="SIM",'C-Produção CDR-TMB'!$D$17,IF('C-Produção CDR-TMB'!$I$7="SIM",'C-Produção CDR-TMB'!$H$17,IF('C-Produção CDR-TMB'!$M$7="SIM",'C-Produção CDR-TMB'!$L$17,IF('C-Produção CDR-TMB'!$Q$7="SIM",'C-Produção CDR-TMB'!$P$17,IF('C-Produção CDR-TMB'!$U$7="SIM",'C-Produção CDR-TMB'!$T$17,"0")))))</f>
        <v>11266.502622129181</v>
      </c>
      <c r="H63" s="1560"/>
      <c r="I63" s="679"/>
      <c r="J63" s="1549" t="s">
        <v>324</v>
      </c>
      <c r="K63" s="271">
        <f>IF('C-Produção CDR-TMB'!$E$7="SIM",'C-Produção CDR-TMB'!$E$23,IF('C-Produção CDR-TMB'!$I$7="SIM",'C-Produção CDR-TMB'!$I$23,IF('C-Produção CDR-TMB'!$M$7="SIM",'C-Produção CDR-TMB'!$M$23,IF('C-Produção CDR-TMB'!$Q$7="SIM",'C-Produção CDR-TMB'!$Q$23,IF('C-Produção CDR-TMB'!$U$7="SIM",'C-Produção CDR-TMB'!$U$23,"0")))))</f>
        <v>1.7850709833613647</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1.8792</v>
      </c>
      <c r="P63" s="1531">
        <f>IF('C-Produção CDR-TMB'!$E$7="SIM",'C-Produção CDR-TMB'!$E$45,IF('C-Produção CDR-TMB'!$I$7="SIM",'C-Produção CDR-TMB'!$I$45,IF('C-Produção CDR-TMB'!$M$7="SIM",'C-Produção CDR-TMB'!$M$45,IF('C-Produção CDR-TMB'!$Q$7="SIM",'C-Produção CDR-TMB'!$Q$45,IF('C-Produção CDR-TMB'!$U$7="SIM",'C-Produção CDR-TMB'!$U$45,0)))))</f>
        <v>53.527777840975482</v>
      </c>
      <c r="Q63" s="269"/>
      <c r="R63" s="991"/>
      <c r="S63" s="999"/>
      <c r="T63" s="999"/>
      <c r="U63" s="999"/>
      <c r="V63" s="999"/>
      <c r="W63" s="999"/>
      <c r="X63" s="999"/>
      <c r="Y63" s="999"/>
      <c r="Z63" s="1600"/>
    </row>
    <row r="64" spans="1:26" ht="17.7"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customHeight="1" outlineLevel="1" x14ac:dyDescent="0.3">
      <c r="A73" s="34"/>
      <c r="B73" s="1520" t="s">
        <v>609</v>
      </c>
      <c r="C73" s="1482" t="s">
        <v>327</v>
      </c>
      <c r="D73" s="1565">
        <v>53</v>
      </c>
      <c r="E73" s="194"/>
      <c r="F73" s="1097" t="s">
        <v>66</v>
      </c>
      <c r="G73" s="1097" t="str">
        <f>'C-Aterro Sanitário'!L2</f>
        <v>Sim</v>
      </c>
      <c r="H73" s="1097">
        <f>IF('C-Aterro Sanitário'!D2&gt;0,'C-Aterro Sanitário'!H2,0)</f>
        <v>46153.415000000001</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14.414189418574999</v>
      </c>
      <c r="L73" s="1097">
        <f>IF('C-Aterro Sanitário'!$E$7="SIM",'C-Aterro Sanitário'!$E$19,IF('C-Aterro Sanitário'!$I$7="SIM",'C-Aterro Sanitário'!$I$19,IF('C-Aterro Sanitário'!$M$7="SIM",'C-Aterro Sanitário'!$M$19,IF('C-Aterro Sanitário'!$Q$7="SIM",'C-Aterro Sanitário'!$Q$19,IF('C-Aterro Sanitário'!$U$7="SIM",'C-Aterro Sanitário'!$U$19,0)))))</f>
        <v>312.31035490169035</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5.4831909800780974</v>
      </c>
      <c r="P73" s="1097">
        <f>IF('C-Aterro Sanitário'!$E$7="SIM",'C-Aterro Sanitário'!$E$45,IF('C-Aterro Sanitário'!$I$7="SIM",'C-Aterro Sanitário'!$I$45,IF('C-Aterro Sanitário'!$M$7="SIM",'C-Aterro Sanitário'!$M$45,IF('C-Aterro Sanitário'!$Q$7="SIM",'C-Aterro Sanitário'!$Q$45,IF('C-Aterro Sanitário'!$U$7="SIM",'C-Aterro Sanitário'!$U$45,0)))))</f>
        <v>118.8035810584785</v>
      </c>
      <c r="Q73" s="194"/>
      <c r="R73" s="988"/>
      <c r="S73" s="989"/>
      <c r="T73" s="989"/>
      <c r="U73" s="989"/>
      <c r="V73" s="989"/>
      <c r="W73" s="989"/>
      <c r="X73" s="989"/>
      <c r="Y73" s="989"/>
      <c r="Z73" s="1597"/>
    </row>
    <row r="74" spans="1:26" ht="17.7"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184.79730023814099</v>
      </c>
      <c r="M74" s="281"/>
      <c r="N74" s="1520" t="s">
        <v>323</v>
      </c>
      <c r="O74" s="278">
        <f>IF(H73&gt;0,((P44*D114+P46*D117))/$D$40,0)</f>
        <v>0</v>
      </c>
      <c r="P74" s="1506">
        <f>IF(O73&gt;0,O73*1000000/$D$40,0)</f>
        <v>70.297320257411499</v>
      </c>
      <c r="Q74" s="194"/>
      <c r="R74" s="988"/>
      <c r="S74" s="989"/>
      <c r="T74" s="989"/>
      <c r="U74" s="989"/>
      <c r="V74" s="989"/>
      <c r="W74" s="989"/>
      <c r="X74" s="989"/>
      <c r="Y74" s="989"/>
      <c r="Z74" s="1597"/>
    </row>
    <row r="75" spans="1:26" ht="17.7"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17.942789438804581</v>
      </c>
      <c r="L75" s="1531">
        <f>IF(K73&gt;0,K75*1000000/(H73*20),0)</f>
        <v>19.438203477255779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1.5089409149881308</v>
      </c>
      <c r="P75" s="1531">
        <f>IF('C-Aterro Sanitário'!$E$7="SIM",'C-Aterro Sanitário'!$E$48,IF('C-Aterro Sanitário'!$I$7="SIM",'C-Aterro Sanitário'!$I$48,IF('C-Aterro Sanitário'!$M$7="SIM",'C-Aterro Sanitário'!$M$48,IF('C-Aterro Sanitário'!$Q$7="SIM",'C-Aterro Sanitário'!$Q$48,IF('C-Aterro Sanitário'!$U$7="SIM",'C-Aterro Sanitário'!$U$48,0)))))</f>
        <v>86.109555817049866</v>
      </c>
      <c r="Q75" s="194"/>
      <c r="R75" s="988"/>
      <c r="S75" s="989"/>
      <c r="T75" s="989"/>
      <c r="U75" s="989"/>
      <c r="V75" s="989"/>
      <c r="W75" s="989"/>
      <c r="X75" s="989"/>
      <c r="Y75" s="989"/>
      <c r="Z75" s="1597"/>
    </row>
    <row r="76" spans="1:26" ht="17.7" customHeight="1" outlineLevel="1" x14ac:dyDescent="0.3">
      <c r="A76" s="47"/>
      <c r="B76" s="1520" t="s">
        <v>612</v>
      </c>
      <c r="C76" s="1483" t="s">
        <v>923</v>
      </c>
      <c r="D76" s="2086">
        <v>1.0780000000000001</v>
      </c>
      <c r="E76" s="194"/>
      <c r="F76" s="1465" t="s">
        <v>336</v>
      </c>
      <c r="G76" s="275">
        <f>IF(K78&lt;&gt;0,(G53*K52+G56*K55+G59*K58+G62*K61+G65*K64+G68*K67+G71*K70+G74*K73)/K78,0)</f>
        <v>0.31332384130554097</v>
      </c>
      <c r="H76" s="1563"/>
      <c r="I76" s="864"/>
      <c r="J76" s="1465"/>
      <c r="K76" s="276"/>
      <c r="L76" s="1537"/>
      <c r="M76" s="281"/>
      <c r="N76" s="1520"/>
      <c r="O76" s="1481"/>
      <c r="P76" s="1538"/>
      <c r="Q76" s="194"/>
      <c r="R76" s="988"/>
      <c r="S76" s="989"/>
      <c r="T76" s="989"/>
      <c r="U76" s="989"/>
      <c r="V76" s="989"/>
      <c r="W76" s="989"/>
      <c r="X76" s="989"/>
      <c r="Y76" s="989"/>
      <c r="Z76" s="1597"/>
    </row>
    <row r="77" spans="1:26" ht="17.7" customHeight="1" outlineLevel="1" x14ac:dyDescent="0.3">
      <c r="A77" s="34"/>
      <c r="B77" s="1520" t="s">
        <v>613</v>
      </c>
      <c r="C77" s="1483" t="s">
        <v>923</v>
      </c>
      <c r="D77" s="2086">
        <v>7.26</v>
      </c>
      <c r="E77" s="194"/>
      <c r="F77" s="1465" t="s">
        <v>593</v>
      </c>
      <c r="G77" s="263">
        <f>G54+G57+G60+G63+G66+G69+G72</f>
        <v>23401.228197180841</v>
      </c>
      <c r="H77" s="1561"/>
      <c r="I77" s="864"/>
      <c r="J77" s="1552" t="s">
        <v>337</v>
      </c>
      <c r="K77" s="279">
        <f>K54+K57+K60+K63+K66+K69+K72</f>
        <v>2.8856891652054371</v>
      </c>
      <c r="L77" s="1521" t="s">
        <v>338</v>
      </c>
      <c r="M77" s="281"/>
      <c r="N77" s="1520"/>
      <c r="O77" s="1481"/>
      <c r="P77" s="1538"/>
      <c r="Q77" s="194"/>
      <c r="R77" s="988"/>
      <c r="S77" s="989"/>
      <c r="T77" s="989"/>
      <c r="U77" s="989"/>
      <c r="V77" s="989"/>
      <c r="W77" s="989"/>
      <c r="X77" s="989"/>
      <c r="Y77" s="989"/>
      <c r="Z77" s="1597"/>
    </row>
    <row r="78" spans="1:26" ht="17.7" customHeight="1" outlineLevel="1" thickBot="1" x14ac:dyDescent="0.35">
      <c r="A78" s="34"/>
      <c r="B78" s="2082" t="s">
        <v>1118</v>
      </c>
      <c r="C78" s="869" t="s">
        <v>1117</v>
      </c>
      <c r="D78" s="2087">
        <v>2.2000000000000002</v>
      </c>
      <c r="E78" s="194"/>
      <c r="F78" s="2275" t="s">
        <v>615</v>
      </c>
      <c r="G78" s="2276"/>
      <c r="H78" s="1541">
        <f>'R-Resumo Bal. Massa'!D16*312</f>
        <v>78000</v>
      </c>
      <c r="I78" s="679"/>
      <c r="J78" s="1539" t="s">
        <v>339</v>
      </c>
      <c r="K78" s="1540">
        <f>K52+K55+K58+K61+K64+K67+K70+K73</f>
        <v>170.71993487838662</v>
      </c>
      <c r="L78" s="1541">
        <f>K78*1000000/H78</f>
        <v>2188.7171138254694</v>
      </c>
      <c r="M78" s="280"/>
      <c r="N78" s="1539" t="s">
        <v>597</v>
      </c>
      <c r="O78" s="1540">
        <f>O52+O55+O58+O61+O64+O67+O70+O73</f>
        <v>20.908417460168479</v>
      </c>
      <c r="P78" s="1541">
        <f>O78*1000000/H78</f>
        <v>268.05663410472414</v>
      </c>
      <c r="Q78" s="194"/>
      <c r="R78" s="988"/>
      <c r="S78" s="989"/>
      <c r="T78" s="989"/>
      <c r="U78" s="989"/>
      <c r="V78" s="989"/>
      <c r="W78" s="989"/>
      <c r="X78" s="989"/>
      <c r="Y78" s="989"/>
      <c r="Z78" s="1597"/>
    </row>
    <row r="79" spans="1:26" ht="15"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Top="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3.9930367096024426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209.83699505471415</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2.9288259357831055</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3.3384</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1375.9162064395377</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6.9218626453855485</v>
      </c>
      <c r="I91" s="269"/>
      <c r="J91" s="1545" t="s">
        <v>561</v>
      </c>
      <c r="K91" s="266" t="s">
        <v>292</v>
      </c>
      <c r="L91" s="1546">
        <f>SUM(L82:L85)</f>
        <v>3.3384</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88.741828786994205</v>
      </c>
      <c r="I92" s="151"/>
      <c r="J92" s="1520" t="s">
        <v>629</v>
      </c>
      <c r="K92" s="1482" t="s">
        <v>342</v>
      </c>
      <c r="L92" s="1531">
        <f>L91*1000000/D40</f>
        <v>42.8</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1.6170276165823767</v>
      </c>
      <c r="I93" s="151"/>
      <c r="J93" s="1522" t="s">
        <v>823</v>
      </c>
      <c r="K93" s="1508" t="s">
        <v>299</v>
      </c>
      <c r="L93" s="1547">
        <f>L92*($D$7*30/$D$6)</f>
        <v>0.7798890662468384</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22.272715460168481</v>
      </c>
      <c r="I98" s="151"/>
      <c r="J98" s="1465" t="s">
        <v>632</v>
      </c>
      <c r="K98" s="226" t="s">
        <v>292</v>
      </c>
      <c r="L98" s="1573">
        <f>H98+L91</f>
        <v>25.611115460168481</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285.54763410472412</v>
      </c>
      <c r="I99" s="151"/>
      <c r="J99" s="1520" t="s">
        <v>633</v>
      </c>
      <c r="K99" s="1482" t="s">
        <v>342</v>
      </c>
      <c r="L99" s="1579">
        <f>L98*1000000/D40</f>
        <v>328.34763410472414</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5.2031653675450276</v>
      </c>
      <c r="I100" s="151"/>
      <c r="J100" s="1522" t="s">
        <v>825</v>
      </c>
      <c r="K100" s="1508" t="s">
        <v>299</v>
      </c>
      <c r="L100" s="1580">
        <f>L99*($D$7*30/$D$6)</f>
        <v>5.9830544337918665</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2" t="s">
        <v>971</v>
      </c>
      <c r="C2" s="2282"/>
      <c r="D2" s="2282"/>
      <c r="E2" s="2282"/>
      <c r="F2" s="2282"/>
      <c r="G2" s="2282"/>
      <c r="H2" s="2282"/>
      <c r="I2" s="2282"/>
      <c r="J2" s="2282"/>
      <c r="K2" s="2282"/>
      <c r="L2" s="2282"/>
      <c r="M2" s="2282"/>
      <c r="N2" s="458"/>
      <c r="O2" s="2281" t="s">
        <v>644</v>
      </c>
      <c r="P2" s="2281"/>
      <c r="Q2" s="2281"/>
      <c r="R2" s="2281"/>
      <c r="S2" s="2281"/>
      <c r="T2" s="2281"/>
      <c r="U2" s="2281"/>
      <c r="V2" s="2281"/>
      <c r="W2" s="2281"/>
      <c r="X2" s="2281"/>
      <c r="Y2" s="2281"/>
      <c r="Z2" s="2281"/>
      <c r="AA2" s="2281"/>
      <c r="AB2" s="473"/>
    </row>
    <row r="3" spans="1:28" s="905" customFormat="1" ht="17.7" customHeight="1" x14ac:dyDescent="0.3">
      <c r="A3" s="903"/>
      <c r="B3" s="2282"/>
      <c r="C3" s="2282"/>
      <c r="D3" s="2282"/>
      <c r="E3" s="2282"/>
      <c r="F3" s="2282"/>
      <c r="G3" s="2282"/>
      <c r="H3" s="2282"/>
      <c r="I3" s="2282"/>
      <c r="J3" s="2282"/>
      <c r="K3" s="2282"/>
      <c r="L3" s="2282"/>
      <c r="M3" s="2282"/>
      <c r="N3" s="904"/>
      <c r="O3" s="2281"/>
      <c r="P3" s="2281"/>
      <c r="Q3" s="2281"/>
      <c r="R3" s="2281"/>
      <c r="S3" s="2281"/>
      <c r="T3" s="2281"/>
      <c r="U3" s="2281"/>
      <c r="V3" s="2281"/>
      <c r="W3" s="2281"/>
      <c r="X3" s="2281"/>
      <c r="Y3" s="2281"/>
      <c r="Z3" s="2281"/>
      <c r="AA3" s="2281"/>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36" t="s">
        <v>351</v>
      </c>
      <c r="K5" s="2334" t="s">
        <v>352</v>
      </c>
      <c r="L5" s="458"/>
      <c r="M5" s="459"/>
      <c r="N5" s="458"/>
      <c r="O5" s="2289" t="s">
        <v>877</v>
      </c>
      <c r="P5" s="458"/>
      <c r="Q5" s="2289" t="s">
        <v>878</v>
      </c>
      <c r="R5" s="458"/>
      <c r="S5" s="2289" t="s">
        <v>879</v>
      </c>
      <c r="T5" s="458"/>
      <c r="U5" s="2289" t="s">
        <v>880</v>
      </c>
      <c r="V5" s="458"/>
      <c r="W5" s="2289" t="s">
        <v>881</v>
      </c>
      <c r="X5" s="458"/>
      <c r="Y5" s="2289" t="s">
        <v>887</v>
      </c>
      <c r="Z5" s="458"/>
      <c r="AA5" s="458"/>
      <c r="AB5" s="473"/>
    </row>
    <row r="6" spans="1:28" s="262" customFormat="1" ht="19.95" hidden="1" customHeight="1" outlineLevel="1" x14ac:dyDescent="0.3">
      <c r="A6" s="458"/>
      <c r="B6" s="1685" t="s">
        <v>645</v>
      </c>
      <c r="C6" s="1646" t="s">
        <v>292</v>
      </c>
      <c r="D6" s="1661">
        <f>D7*D8/1000000</f>
        <v>24.870582927731849</v>
      </c>
      <c r="E6" s="463"/>
      <c r="F6" s="1681" t="s">
        <v>973</v>
      </c>
      <c r="G6" s="1633">
        <f>J7*(1-K7)</f>
        <v>109759.20000000001</v>
      </c>
      <c r="H6" s="1675">
        <f>G6/$G$11</f>
        <v>0.66654521075030615</v>
      </c>
      <c r="I6" s="458"/>
      <c r="J6" s="2337"/>
      <c r="K6" s="2335"/>
      <c r="L6" s="458"/>
      <c r="M6" s="468"/>
      <c r="N6" s="460"/>
      <c r="O6" s="2290"/>
      <c r="P6" s="458"/>
      <c r="Q6" s="2290"/>
      <c r="R6" s="458"/>
      <c r="S6" s="2290"/>
      <c r="T6" s="458"/>
      <c r="U6" s="2290"/>
      <c r="V6" s="458"/>
      <c r="W6" s="2290"/>
      <c r="X6" s="458"/>
      <c r="Y6" s="2290"/>
      <c r="Z6" s="458"/>
      <c r="AA6" s="458"/>
      <c r="AB6" s="473"/>
    </row>
    <row r="7" spans="1:28" s="262" customFormat="1" ht="19.95" hidden="1" customHeight="1" outlineLevel="1" x14ac:dyDescent="0.3">
      <c r="A7" s="458"/>
      <c r="B7" s="1681" t="s">
        <v>646</v>
      </c>
      <c r="C7" s="1644" t="s">
        <v>342</v>
      </c>
      <c r="D7" s="1662">
        <f>'R&amp;C-Painel de Controle'!H33</f>
        <v>318.85362727861343</v>
      </c>
      <c r="E7" s="463"/>
      <c r="F7" s="1681" t="s">
        <v>974</v>
      </c>
      <c r="G7" s="1633">
        <f>J7*K7</f>
        <v>27439.800000000003</v>
      </c>
      <c r="H7" s="1675">
        <f>G7/$G$11</f>
        <v>0.16663630268757654</v>
      </c>
      <c r="I7" s="458"/>
      <c r="J7" s="2293">
        <f>'R&amp;C-Painel de Controle'!D6/3</f>
        <v>137199</v>
      </c>
      <c r="K7" s="2291">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78000</v>
      </c>
      <c r="E8" s="463"/>
      <c r="F8" s="1681" t="s">
        <v>975</v>
      </c>
      <c r="G8" s="1676">
        <f>J7/5</f>
        <v>27439.8</v>
      </c>
      <c r="H8" s="1675">
        <f>G8/$G$11</f>
        <v>0.16663630268757654</v>
      </c>
      <c r="I8" s="458"/>
      <c r="J8" s="2294"/>
      <c r="K8" s="2292"/>
      <c r="L8" s="458"/>
      <c r="M8" s="468"/>
      <c r="N8" s="460"/>
      <c r="O8" s="1500">
        <f>(O12-O10)/O10</f>
        <v>1.2145591636766743E-6</v>
      </c>
      <c r="P8" s="460"/>
      <c r="Q8" s="1500">
        <f>(Q12-Q10)/Q10</f>
        <v>-5.8327040398666423E-3</v>
      </c>
      <c r="R8" s="460"/>
      <c r="S8" s="1500">
        <f>(S12-S10)/S10</f>
        <v>-5.8327040398668409E-3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27.034634524731114</v>
      </c>
      <c r="R10" s="460"/>
      <c r="S10" s="265">
        <f>D8</f>
        <v>78000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294.45016153846154</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1.0828780857604123</v>
      </c>
      <c r="E12" s="458"/>
      <c r="F12" s="458"/>
      <c r="G12" s="458"/>
      <c r="H12" s="459"/>
      <c r="I12" s="458"/>
      <c r="J12" s="459"/>
      <c r="K12" s="459"/>
      <c r="L12" s="459"/>
      <c r="M12" s="459"/>
      <c r="N12" s="458"/>
      <c r="O12" s="265">
        <f>O33</f>
        <v>164669</v>
      </c>
      <c r="P12" s="460"/>
      <c r="Q12" s="276">
        <f>Q33</f>
        <v>26.876949502722397</v>
      </c>
      <c r="R12" s="460"/>
      <c r="S12" s="265">
        <f>S33*(1+$D$17+$D$18+$D$19)</f>
        <v>77545.049084890386</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3" t="s">
        <v>978</v>
      </c>
      <c r="G15" s="2285" t="s">
        <v>195</v>
      </c>
      <c r="H15" s="2287">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4"/>
      <c r="G16" s="2286"/>
      <c r="H16" s="2288"/>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27.034634524731114</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1.1771020151976401</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5" t="s">
        <v>941</v>
      </c>
      <c r="G23" s="2326"/>
      <c r="H23" s="232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164.17581548375355</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27.034634524731114</v>
      </c>
      <c r="E25" s="458"/>
      <c r="F25" s="1684" t="s">
        <v>980</v>
      </c>
      <c r="G25" s="1666" t="s">
        <v>359</v>
      </c>
      <c r="H25" s="1680">
        <f>H24/12</f>
        <v>13.681317956979463</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1.1771020151976401</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16" t="s">
        <v>964</v>
      </c>
      <c r="C29" s="2317"/>
      <c r="D29" s="2317"/>
      <c r="E29" s="2318"/>
      <c r="F29" s="458"/>
      <c r="G29" s="458"/>
      <c r="H29" s="459"/>
      <c r="I29" s="458"/>
      <c r="J29" s="459"/>
      <c r="K29" s="2297" t="s">
        <v>360</v>
      </c>
      <c r="L29" s="2298"/>
      <c r="M29" s="2299"/>
      <c r="N29" s="458"/>
      <c r="O29" s="2321" t="s">
        <v>763</v>
      </c>
      <c r="P29" s="2322"/>
      <c r="Q29" s="2322"/>
      <c r="R29" s="2322"/>
      <c r="S29" s="2322"/>
      <c r="T29" s="2322"/>
      <c r="U29" s="2322"/>
      <c r="V29" s="2322"/>
      <c r="W29" s="2322"/>
      <c r="X29" s="2322"/>
      <c r="Y29" s="2322"/>
      <c r="Z29" s="2322"/>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39" t="s">
        <v>965</v>
      </c>
      <c r="C31" s="2340"/>
      <c r="D31" s="2340"/>
      <c r="E31" s="2340"/>
      <c r="F31" s="2340"/>
      <c r="G31" s="2340"/>
      <c r="H31" s="2340"/>
      <c r="I31" s="2340"/>
      <c r="J31" s="2340"/>
      <c r="K31" s="2340"/>
      <c r="L31" s="1634" t="s">
        <v>361</v>
      </c>
      <c r="M31" s="1634" t="s">
        <v>362</v>
      </c>
      <c r="N31" s="458"/>
      <c r="O31" s="2295" t="s">
        <v>650</v>
      </c>
      <c r="P31" s="458"/>
      <c r="Q31" s="2295" t="s">
        <v>363</v>
      </c>
      <c r="R31" s="458"/>
      <c r="S31" s="2295" t="s">
        <v>651</v>
      </c>
      <c r="T31" s="458"/>
      <c r="U31" s="2295" t="s">
        <v>652</v>
      </c>
      <c r="V31" s="458"/>
      <c r="W31" s="2295" t="s">
        <v>652</v>
      </c>
      <c r="X31" s="458"/>
      <c r="Y31" s="2295" t="s">
        <v>463</v>
      </c>
      <c r="Z31" s="458"/>
      <c r="AA31" s="458"/>
      <c r="AB31" s="473"/>
    </row>
    <row r="32" spans="1:28" s="262" customFormat="1" ht="19.95" customHeight="1" x14ac:dyDescent="0.3">
      <c r="A32" s="458"/>
      <c r="B32" s="2341"/>
      <c r="C32" s="2340"/>
      <c r="D32" s="2340"/>
      <c r="E32" s="2340"/>
      <c r="F32" s="2340"/>
      <c r="G32" s="2340"/>
      <c r="H32" s="2340"/>
      <c r="I32" s="2340"/>
      <c r="J32" s="2340"/>
      <c r="K32" s="2340"/>
      <c r="L32" s="1635">
        <f>H24</f>
        <v>164.17581548375355</v>
      </c>
      <c r="M32" s="1636">
        <f>H25</f>
        <v>13.681317956979463</v>
      </c>
      <c r="N32" s="461"/>
      <c r="O32" s="2178"/>
      <c r="P32" s="461"/>
      <c r="Q32" s="2178"/>
      <c r="R32" s="461"/>
      <c r="S32" s="2178"/>
      <c r="T32" s="458"/>
      <c r="U32" s="2178"/>
      <c r="V32" s="458"/>
      <c r="W32" s="2178"/>
      <c r="X32" s="458"/>
      <c r="Y32" s="2296"/>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26.876949502722397</v>
      </c>
      <c r="R33" s="458"/>
      <c r="S33" s="265">
        <f>12*S34</f>
        <v>71470.091322479624</v>
      </c>
      <c r="T33" s="458" t="s">
        <v>364</v>
      </c>
      <c r="U33" s="265">
        <f>12*U34</f>
        <v>23493387.184143588</v>
      </c>
      <c r="V33" s="458" t="s">
        <v>365</v>
      </c>
      <c r="W33" s="265">
        <f>12*W34</f>
        <v>23493387.184143588</v>
      </c>
      <c r="X33" s="458" t="s">
        <v>365</v>
      </c>
      <c r="Y33" s="2323">
        <v>0.1</v>
      </c>
      <c r="Z33" s="458"/>
      <c r="AA33" s="458"/>
      <c r="AB33" s="473"/>
    </row>
    <row r="34" spans="1:28" s="262" customFormat="1" ht="34.950000000000003" hidden="1" customHeight="1" outlineLevel="1" x14ac:dyDescent="0.3">
      <c r="A34" s="458"/>
      <c r="B34" s="2319" t="s">
        <v>366</v>
      </c>
      <c r="C34" s="2320"/>
      <c r="D34" s="2320"/>
      <c r="E34" s="2320"/>
      <c r="F34" s="2320"/>
      <c r="G34" s="2320"/>
      <c r="H34" s="2320"/>
      <c r="I34" s="2320"/>
      <c r="J34" s="2320"/>
      <c r="K34" s="2320"/>
      <c r="L34" s="2320"/>
      <c r="M34" s="2320"/>
      <c r="N34" s="461"/>
      <c r="O34" s="883"/>
      <c r="P34" s="461"/>
      <c r="Q34" s="883"/>
      <c r="R34" s="461"/>
      <c r="S34" s="265">
        <f>S36+S49+S62+S75+S88</f>
        <v>5955.840943539969</v>
      </c>
      <c r="T34" s="458" t="s">
        <v>367</v>
      </c>
      <c r="U34" s="265">
        <f>U36+U49+U62+U75+U88</f>
        <v>1957782.2653452989</v>
      </c>
      <c r="V34" s="458" t="s">
        <v>368</v>
      </c>
      <c r="W34" s="265">
        <f>W36+W49+W62+W75+W88</f>
        <v>1957782.2653452989</v>
      </c>
      <c r="X34" s="458" t="s">
        <v>368</v>
      </c>
      <c r="Y34" s="2324"/>
      <c r="Z34" s="458"/>
      <c r="AA34" s="458"/>
      <c r="AB34" s="473"/>
    </row>
    <row r="35" spans="1:28" s="262" customFormat="1" ht="25.2" hidden="1" customHeight="1" outlineLevel="1" x14ac:dyDescent="0.3">
      <c r="A35" s="458"/>
      <c r="B35" s="2305" t="s">
        <v>369</v>
      </c>
      <c r="C35" s="2312"/>
      <c r="D35" s="2312"/>
      <c r="E35" s="2313"/>
      <c r="F35" s="2312"/>
      <c r="G35" s="2312"/>
      <c r="H35" s="2312"/>
      <c r="I35" s="2313"/>
      <c r="J35" s="2312"/>
      <c r="K35" s="2312"/>
      <c r="L35" s="2312"/>
      <c r="M35" s="2312"/>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5" t="s">
        <v>370</v>
      </c>
      <c r="C36" s="2305" t="s">
        <v>371</v>
      </c>
      <c r="D36" s="2307"/>
      <c r="E36" s="1515"/>
      <c r="F36" s="2328" t="s">
        <v>372</v>
      </c>
      <c r="G36" s="2312"/>
      <c r="H36" s="2329"/>
      <c r="I36" s="881"/>
      <c r="J36" s="2308" t="s">
        <v>970</v>
      </c>
      <c r="K36" s="2309"/>
      <c r="L36" s="2309"/>
      <c r="M36" s="2309"/>
      <c r="N36" s="458"/>
      <c r="O36" s="265">
        <f>O39+O41+O42+O43+O44+O45</f>
        <v>25</v>
      </c>
      <c r="P36" s="467"/>
      <c r="Q36" s="889">
        <f>Q39+Q41+Q42+Q43+Q44+Q45</f>
        <v>319.37326605823932</v>
      </c>
      <c r="R36" s="458"/>
      <c r="S36" s="2310">
        <f>IF(AND(Q36&lt;&gt;0,O36&lt;&gt;0),Q36/(1+$D$17+$D$18+$D$19)/(($D$25*1000000/$D$8)),0)</f>
        <v>0.84926440364182398</v>
      </c>
      <c r="T36" s="2314" t="s">
        <v>373</v>
      </c>
      <c r="U36" s="2310">
        <f>U39+U41+U42+U43+U44+U45</f>
        <v>250.06604084120028</v>
      </c>
      <c r="V36" s="467" t="s">
        <v>374</v>
      </c>
      <c r="W36" s="2310">
        <f>W39*O39+W41*O41+W42*O42+W43*O43+W44*O44+W45*O45</f>
        <v>250.06604084120028</v>
      </c>
      <c r="X36" s="467" t="s">
        <v>374</v>
      </c>
      <c r="Y36" s="865" t="s">
        <v>375</v>
      </c>
      <c r="Z36" s="458"/>
      <c r="AA36" s="458"/>
      <c r="AB36" s="473"/>
    </row>
    <row r="37" spans="1:28" s="262" customFormat="1" ht="24" hidden="1" customHeight="1" outlineLevel="1" x14ac:dyDescent="0.3">
      <c r="A37" s="458"/>
      <c r="B37" s="2306"/>
      <c r="C37" s="1637" t="s">
        <v>376</v>
      </c>
      <c r="D37" s="1638" t="s">
        <v>377</v>
      </c>
      <c r="E37" s="1516"/>
      <c r="F37" s="2330"/>
      <c r="G37" s="2312"/>
      <c r="H37" s="2329"/>
      <c r="I37" s="882"/>
      <c r="J37" s="2331" t="s">
        <v>378</v>
      </c>
      <c r="K37" s="2332"/>
      <c r="L37" s="2333" t="s">
        <v>379</v>
      </c>
      <c r="M37" s="2332"/>
      <c r="N37" s="458"/>
      <c r="O37" s="886" t="s">
        <v>380</v>
      </c>
      <c r="P37" s="467"/>
      <c r="Q37" s="890">
        <v>0.5</v>
      </c>
      <c r="R37" s="458"/>
      <c r="S37" s="2311"/>
      <c r="T37" s="2315"/>
      <c r="U37" s="2311"/>
      <c r="V37" s="467"/>
      <c r="W37" s="2338"/>
      <c r="X37" s="467"/>
      <c r="Y37" s="893">
        <f>$Y$33</f>
        <v>0.1</v>
      </c>
      <c r="Z37" s="458"/>
      <c r="AA37" s="458"/>
      <c r="AB37" s="473"/>
    </row>
    <row r="38" spans="1:28" s="262" customFormat="1" ht="24" hidden="1" customHeight="1" outlineLevel="1" x14ac:dyDescent="0.3">
      <c r="A38" s="458"/>
      <c r="B38" s="2300">
        <v>1</v>
      </c>
      <c r="C38" s="2300">
        <v>1</v>
      </c>
      <c r="D38" s="230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1"/>
      <c r="C39" s="2302"/>
      <c r="D39" s="2304"/>
      <c r="E39" s="882"/>
      <c r="F39" s="1694" t="s">
        <v>338</v>
      </c>
      <c r="G39" s="1695">
        <v>5</v>
      </c>
      <c r="H39" s="1696">
        <v>0.35</v>
      </c>
      <c r="I39" s="1516"/>
      <c r="J39" s="1697">
        <f>$L$32*H39*$B$38*$C$38</f>
        <v>57.461535419313741</v>
      </c>
      <c r="K39" s="1698">
        <f>$M$32*H39*$B$38*$C$38</f>
        <v>4.7884612849428114</v>
      </c>
      <c r="L39" s="1697">
        <f>J39*$D$38</f>
        <v>71.82691927414217</v>
      </c>
      <c r="M39" s="1698">
        <f>K39*$D$38</f>
        <v>5.9855766061785145</v>
      </c>
      <c r="N39" s="458"/>
      <c r="O39" s="887">
        <v>5</v>
      </c>
      <c r="P39" s="467"/>
      <c r="Q39" s="286">
        <f>O39*$Q$37*M39+O39*(1-$Q$37)*K39</f>
        <v>26.935094727803317</v>
      </c>
      <c r="R39" s="458"/>
      <c r="S39" s="891">
        <f>IF(AND(Q39&lt;&gt;0,O39&lt;&gt;0),Q39/(1+$D$17+$D$18+$D$19)/O39/30/(($D$25*1000000/$D$8))*1000,0)</f>
        <v>0.47749805827251141</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1"/>
      <c r="C40" s="2302"/>
      <c r="D40" s="230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1"/>
      <c r="C41" s="2302"/>
      <c r="D41" s="2304"/>
      <c r="E41" s="882"/>
      <c r="F41" s="1694">
        <f>G39</f>
        <v>5</v>
      </c>
      <c r="G41" s="1695">
        <v>15</v>
      </c>
      <c r="H41" s="1696">
        <v>0.06</v>
      </c>
      <c r="I41" s="1516"/>
      <c r="J41" s="1697">
        <f>$L$32*(H39+(G41-F41)*H41)*$B$38*$C$38</f>
        <v>155.96702470956586</v>
      </c>
      <c r="K41" s="1698">
        <f>$M$32*(H39+(G41-F41)*H41)*$B$38*$C$38</f>
        <v>12.997252059130489</v>
      </c>
      <c r="L41" s="1697">
        <f t="shared" ref="L41:M45" si="0">J41*$D$38</f>
        <v>194.95878088695733</v>
      </c>
      <c r="M41" s="1698">
        <f t="shared" si="0"/>
        <v>16.246565073913111</v>
      </c>
      <c r="N41" s="458"/>
      <c r="O41" s="887">
        <v>20</v>
      </c>
      <c r="P41" s="467"/>
      <c r="Q41" s="286">
        <f>O41*$Q$37*M41+O41*(1-$Q$37)*K41</f>
        <v>292.43817133043598</v>
      </c>
      <c r="R41" s="458"/>
      <c r="S41" s="891">
        <f>IF(AND(Q41&lt;&gt;0,O41&lt;&gt;0),Q41/(1+$D$17+$D$18+$D$19)/O41/30/(($D$25*1000000/$D$8))*1000,0)</f>
        <v>1.2960661581682453</v>
      </c>
      <c r="T41" s="467" t="s">
        <v>382</v>
      </c>
      <c r="U41" s="870">
        <f>S41*O41*30*$D$11*(1+$D$24)/1000</f>
        <v>228.97613378230386</v>
      </c>
      <c r="V41" s="467" t="s">
        <v>383</v>
      </c>
      <c r="W41" s="870">
        <f>IF(O41&lt;&gt;0,U41/O41,0)</f>
        <v>11.448806689115193</v>
      </c>
      <c r="X41" s="467" t="s">
        <v>384</v>
      </c>
      <c r="Y41" s="265" t="str">
        <f>IF(O41=0,"-",IF(AND(((F41*(1-$Y$37))&lt;W41),(W41&lt;(G41*(1+$Y$37)))),"OK", "NOK"))</f>
        <v>OK</v>
      </c>
      <c r="Z41" s="897"/>
      <c r="AA41" s="898">
        <f>IF(OR(Y41="OK",Y41="-"),1,0)</f>
        <v>1</v>
      </c>
      <c r="AB41" s="473"/>
    </row>
    <row r="42" spans="1:28" s="262" customFormat="1" ht="24" hidden="1" customHeight="1" outlineLevel="1" x14ac:dyDescent="0.3">
      <c r="A42" s="458"/>
      <c r="B42" s="2301"/>
      <c r="C42" s="2302"/>
      <c r="D42" s="2304"/>
      <c r="E42" s="882"/>
      <c r="F42" s="1694">
        <f>G41</f>
        <v>15</v>
      </c>
      <c r="G42" s="1695">
        <v>25</v>
      </c>
      <c r="H42" s="1696">
        <v>0.05</v>
      </c>
      <c r="I42" s="1516"/>
      <c r="J42" s="1697">
        <f>$L$32*(H39+(G41-F41)*H41+(G42-F42)*H42)*$B$38*$C$38</f>
        <v>238.05493245144265</v>
      </c>
      <c r="K42" s="1698">
        <f>$M$32*(H39+(G41-F41)*H41+(G42-F42)*H42)*$B$38*$C$38</f>
        <v>19.83791103762022</v>
      </c>
      <c r="L42" s="1697">
        <f t="shared" si="0"/>
        <v>297.56866556430333</v>
      </c>
      <c r="M42" s="1698">
        <f t="shared" si="0"/>
        <v>24.797388797025274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1"/>
      <c r="C43" s="2302"/>
      <c r="D43" s="2304"/>
      <c r="E43" s="882"/>
      <c r="F43" s="1694">
        <f>G42</f>
        <v>25</v>
      </c>
      <c r="G43" s="1695">
        <v>35</v>
      </c>
      <c r="H43" s="1696">
        <v>3.5000000000000003E-2</v>
      </c>
      <c r="I43" s="1516"/>
      <c r="J43" s="1697">
        <f>$L$32*(H39+(G41-F41)*H41+(G42-F42)*H42+(G43-F43)*H43)*$B$38*$C$38</f>
        <v>295.5164678707564</v>
      </c>
      <c r="K43" s="1698">
        <f>$M$32*(H39+(G41-F41)*H41+(G42-F42)*H42+(G43-F43)*H43)*$B$38*$C$38</f>
        <v>24.626372322563032</v>
      </c>
      <c r="L43" s="1697">
        <f t="shared" si="0"/>
        <v>369.39558483844553</v>
      </c>
      <c r="M43" s="1698">
        <f t="shared" si="0"/>
        <v>30.782965403203789</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1"/>
      <c r="C44" s="2302"/>
      <c r="D44" s="2304"/>
      <c r="E44" s="882"/>
      <c r="F44" s="1694">
        <f>G43</f>
        <v>35</v>
      </c>
      <c r="G44" s="1695">
        <v>50</v>
      </c>
      <c r="H44" s="1696">
        <f>0.03</f>
        <v>0.03</v>
      </c>
      <c r="I44" s="1516"/>
      <c r="J44" s="1697">
        <f>$L$32*(H39+(G41-F41)*H41+(G42-F42)*H42+(G43-F43)*H43+(G44-F44)*H44)*$B$38*$C$38</f>
        <v>369.39558483844547</v>
      </c>
      <c r="K44" s="1698">
        <f>$M$32*(H39+(G41-F41)*H41+(G42-F42)*H42+(G43-F43)*H43+(G44-F44)*H44)*$B$38*$C$38</f>
        <v>30.782965403203789</v>
      </c>
      <c r="L44" s="1697">
        <f t="shared" si="0"/>
        <v>461.74448104805685</v>
      </c>
      <c r="M44" s="1698">
        <f t="shared" si="0"/>
        <v>38.478706754004733</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1"/>
      <c r="C45" s="2302"/>
      <c r="D45" s="2304"/>
      <c r="E45" s="882"/>
      <c r="F45" s="1694">
        <f>G44</f>
        <v>50</v>
      </c>
      <c r="G45" s="1695">
        <v>100</v>
      </c>
      <c r="H45" s="1696">
        <v>2.5000000000000001E-2</v>
      </c>
      <c r="I45" s="1516"/>
      <c r="J45" s="1697">
        <f>$L$32*(H39+(G41-F41)*H41+(G42-F42)*H42+(G43-F43)*H43+(G44-F44)*H44+(G45-F45)*H45)*$B$38*$C$38</f>
        <v>574.61535419313748</v>
      </c>
      <c r="K45" s="1698">
        <f>$M$32*(H39+(G41-F41)*H41+(G42-F42)*H42+(G43-F43)*H43+(G44-F44)*H44+(G45-F45)*H45)*$B$38*$C$38</f>
        <v>47.884612849428123</v>
      </c>
      <c r="L45" s="1697">
        <f t="shared" si="0"/>
        <v>718.26919274142188</v>
      </c>
      <c r="M45" s="1698">
        <f t="shared" si="0"/>
        <v>59.855766061785154</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19" t="s">
        <v>385</v>
      </c>
      <c r="C47" s="2320"/>
      <c r="D47" s="2320"/>
      <c r="E47" s="2320"/>
      <c r="F47" s="2320"/>
      <c r="G47" s="2320"/>
      <c r="H47" s="2320"/>
      <c r="I47" s="2320"/>
      <c r="J47" s="2320"/>
      <c r="K47" s="2320"/>
      <c r="L47" s="2320"/>
      <c r="M47" s="2320"/>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5" t="s">
        <v>369</v>
      </c>
      <c r="C48" s="2312"/>
      <c r="D48" s="2312"/>
      <c r="E48" s="2313"/>
      <c r="F48" s="2312"/>
      <c r="G48" s="2312"/>
      <c r="H48" s="2312"/>
      <c r="I48" s="2313"/>
      <c r="J48" s="2312"/>
      <c r="K48" s="2312"/>
      <c r="L48" s="2312"/>
      <c r="M48" s="2312"/>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5" t="s">
        <v>370</v>
      </c>
      <c r="C49" s="2305" t="s">
        <v>371</v>
      </c>
      <c r="D49" s="2307"/>
      <c r="E49" s="1515"/>
      <c r="F49" s="2328" t="s">
        <v>372</v>
      </c>
      <c r="G49" s="2312"/>
      <c r="H49" s="2329"/>
      <c r="I49" s="881"/>
      <c r="J49" s="2308" t="s">
        <v>970</v>
      </c>
      <c r="K49" s="2309"/>
      <c r="L49" s="2309"/>
      <c r="M49" s="2309"/>
      <c r="N49" s="458"/>
      <c r="O49" s="265">
        <f>O52+O54+O55+O56+O57+O58</f>
        <v>109759</v>
      </c>
      <c r="P49" s="467"/>
      <c r="Q49" s="895">
        <f>Q52+Q54+Q55+Q56+Q57+Q58</f>
        <v>1231343.6272875415</v>
      </c>
      <c r="R49" s="458"/>
      <c r="S49" s="2349">
        <f>IF(AND(Q49&lt;&gt;0,O49&lt;&gt;0),Q49/(1+$D$17+$D$18+$D$19)/(($D$25*1000000/$D$8)),0)</f>
        <v>3274.3389082410513</v>
      </c>
      <c r="T49" s="2314" t="s">
        <v>373</v>
      </c>
      <c r="U49" s="2310">
        <f>U52+U54+U55+U56+U57+U58</f>
        <v>964129.62046324753</v>
      </c>
      <c r="V49" s="467" t="s">
        <v>374</v>
      </c>
      <c r="W49" s="2347">
        <f>W52*O52+W54*O54+W55*O55+W56*O56+W57*O57+W58*O58</f>
        <v>964129.62046324753</v>
      </c>
      <c r="X49" s="467" t="s">
        <v>374</v>
      </c>
      <c r="Y49" s="865" t="s">
        <v>375</v>
      </c>
      <c r="Z49" s="458"/>
      <c r="AA49" s="458"/>
      <c r="AB49" s="473"/>
    </row>
    <row r="50" spans="1:28" s="262" customFormat="1" ht="24" hidden="1" customHeight="1" outlineLevel="1" x14ac:dyDescent="0.3">
      <c r="A50" s="458"/>
      <c r="B50" s="2306"/>
      <c r="C50" s="1637" t="s">
        <v>376</v>
      </c>
      <c r="D50" s="1638" t="s">
        <v>377</v>
      </c>
      <c r="E50" s="1516"/>
      <c r="F50" s="2330"/>
      <c r="G50" s="2312"/>
      <c r="H50" s="2329"/>
      <c r="I50" s="882"/>
      <c r="J50" s="2331" t="s">
        <v>378</v>
      </c>
      <c r="K50" s="2332"/>
      <c r="L50" s="2333" t="s">
        <v>379</v>
      </c>
      <c r="M50" s="2332"/>
      <c r="N50" s="458"/>
      <c r="O50" s="894" t="s">
        <v>380</v>
      </c>
      <c r="P50" s="467"/>
      <c r="Q50" s="890">
        <v>0.5</v>
      </c>
      <c r="R50" s="458"/>
      <c r="S50" s="2311"/>
      <c r="T50" s="2315"/>
      <c r="U50" s="2311"/>
      <c r="V50" s="467"/>
      <c r="W50" s="2348"/>
      <c r="X50" s="467"/>
      <c r="Y50" s="893">
        <f>$Y$33</f>
        <v>0.1</v>
      </c>
      <c r="Z50" s="458"/>
      <c r="AA50" s="458"/>
      <c r="AB50" s="473"/>
    </row>
    <row r="51" spans="1:28" s="262" customFormat="1" ht="24" hidden="1" customHeight="1" outlineLevel="1" x14ac:dyDescent="0.3">
      <c r="A51" s="458"/>
      <c r="B51" s="2300">
        <v>1</v>
      </c>
      <c r="C51" s="2300">
        <v>1</v>
      </c>
      <c r="D51" s="230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1"/>
      <c r="C52" s="2302"/>
      <c r="D52" s="2304"/>
      <c r="E52" s="882"/>
      <c r="F52" s="1694" t="s">
        <v>338</v>
      </c>
      <c r="G52" s="1695">
        <v>5</v>
      </c>
      <c r="H52" s="1696">
        <f>0.35-0.05</f>
        <v>0.3</v>
      </c>
      <c r="I52" s="1516"/>
      <c r="J52" s="1697">
        <f>$L$32*H52*$B$51*$C$51</f>
        <v>49.252744645126064</v>
      </c>
      <c r="K52" s="1698">
        <f>$M$32*H52*$B$51*$C$51</f>
        <v>4.104395387093839</v>
      </c>
      <c r="L52" s="1697">
        <f>J52*$D$51</f>
        <v>61.565930806407579</v>
      </c>
      <c r="M52" s="1698">
        <f>K52*$D$51</f>
        <v>5.1304942338672985</v>
      </c>
      <c r="N52" s="458"/>
      <c r="O52" s="887">
        <v>76400</v>
      </c>
      <c r="P52" s="467"/>
      <c r="Q52" s="286">
        <f>O52*$Q$50*M52+O52*(1-$Q$50)*K52</f>
        <v>352772.78352071543</v>
      </c>
      <c r="R52" s="458"/>
      <c r="S52" s="891">
        <f>IF(AND(Q52&lt;&gt;0,O52&lt;&gt;0),Q52/(1+$D$17+$D$18+$D$19)/O52/30/(($D$25*1000000/$D$8))*1000,0)</f>
        <v>0.40928404994786688</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hidden="1" customHeight="1" outlineLevel="1" x14ac:dyDescent="0.3">
      <c r="A53" s="458"/>
      <c r="B53" s="2301"/>
      <c r="C53" s="2302"/>
      <c r="D53" s="230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1"/>
      <c r="C54" s="2302"/>
      <c r="D54" s="2304"/>
      <c r="E54" s="882"/>
      <c r="F54" s="1694">
        <f>G52</f>
        <v>5</v>
      </c>
      <c r="G54" s="1695">
        <v>15</v>
      </c>
      <c r="H54" s="1696">
        <f>0.08</f>
        <v>0.08</v>
      </c>
      <c r="I54" s="1516"/>
      <c r="J54" s="1697">
        <f>$L$32*(H52+(G54-F54)*H54)*$B$51*$C$51</f>
        <v>180.59339703212893</v>
      </c>
      <c r="K54" s="1698">
        <f>$M$32*(H52+(G54-F54)*H54)*$B$51*$C$51</f>
        <v>15.049449752677409</v>
      </c>
      <c r="L54" s="1697">
        <f t="shared" ref="L54:M58" si="1">J54*$D$51</f>
        <v>225.74174629016116</v>
      </c>
      <c r="M54" s="1698">
        <f t="shared" si="1"/>
        <v>18.811812190846762</v>
      </c>
      <c r="N54" s="458"/>
      <c r="O54" s="887">
        <v>16500</v>
      </c>
      <c r="P54" s="467"/>
      <c r="Q54" s="286">
        <f>O54*$Q$50*M54+O54*(1-$Q$50)*K54</f>
        <v>279355.41103407444</v>
      </c>
      <c r="R54" s="458"/>
      <c r="S54" s="891">
        <f>IF(AND(Q54&lt;&gt;0,O54&lt;&gt;0),Q54/(1+$D$17+$D$18+$D$19)/O54/30/(($D$25*1000000/$D$8))*1000,0)</f>
        <v>1.5007081831421789</v>
      </c>
      <c r="T54" s="467" t="s">
        <v>382</v>
      </c>
      <c r="U54" s="870">
        <f>S54*O54*30*$D$11*(1+$D$24)/1000</f>
        <v>218732.46463941131</v>
      </c>
      <c r="V54" s="467" t="s">
        <v>383</v>
      </c>
      <c r="W54" s="900">
        <f>IF(O54&lt;&gt;0,U54/O54,0)</f>
        <v>13.25651300844917</v>
      </c>
      <c r="X54" s="467" t="s">
        <v>384</v>
      </c>
      <c r="Y54" s="287" t="str">
        <f>IF(O54=0,"-",IF(AND(((F54*(1-$Y$50))&lt;W54),(W54&lt;(G54*(1+$Y$50)))),"OK", "NOK"))</f>
        <v>OK</v>
      </c>
      <c r="Z54" s="151"/>
      <c r="AA54" s="249">
        <f>IF(OR(Y54="OK",Y54="-"),1,0)</f>
        <v>1</v>
      </c>
      <c r="AB54" s="473"/>
    </row>
    <row r="55" spans="1:28" s="262" customFormat="1" ht="24" hidden="1" customHeight="1" outlineLevel="1" x14ac:dyDescent="0.3">
      <c r="A55" s="458"/>
      <c r="B55" s="2301"/>
      <c r="C55" s="2302"/>
      <c r="D55" s="2304"/>
      <c r="E55" s="882"/>
      <c r="F55" s="1694">
        <f>G54</f>
        <v>15</v>
      </c>
      <c r="G55" s="1695">
        <v>25</v>
      </c>
      <c r="H55" s="1696">
        <f>0.0725</f>
        <v>7.2499999999999995E-2</v>
      </c>
      <c r="I55" s="1516"/>
      <c r="J55" s="1697">
        <f>$L$32*(H52+(G54-F54)*H54+(G55-F55)*H55)*$B$51*$C$51</f>
        <v>299.62086325785026</v>
      </c>
      <c r="K55" s="1698">
        <f>$M$32*(H52+(G54-F54)*H54+(G55-F55)*H55)*$B$51*$C$51</f>
        <v>24.968405271487523</v>
      </c>
      <c r="L55" s="1697">
        <f t="shared" si="1"/>
        <v>374.52607907231283</v>
      </c>
      <c r="M55" s="1698">
        <f t="shared" si="1"/>
        <v>31.210506589359404</v>
      </c>
      <c r="N55" s="458"/>
      <c r="O55" s="887">
        <v>10000</v>
      </c>
      <c r="P55" s="467"/>
      <c r="Q55" s="286">
        <f>O55*$Q$50*M55+O55*(1-$Q$50)*K55</f>
        <v>280894.55930423463</v>
      </c>
      <c r="R55" s="458"/>
      <c r="S55" s="891">
        <f>IF(AND(Q55&lt;&gt;0,O55&lt;&gt;0),Q55/(1+$D$17+$D$18+$D$19)/O55/30/(($D$25*1000000/$D$8))*1000,0)</f>
        <v>2.4898113038495242</v>
      </c>
      <c r="T55" s="467" t="s">
        <v>382</v>
      </c>
      <c r="U55" s="870">
        <f>S55*O55*30*$D$11*(1+$D$24)/1000</f>
        <v>219937.60218563399</v>
      </c>
      <c r="V55" s="467" t="s">
        <v>383</v>
      </c>
      <c r="W55" s="901">
        <f>IF(O55&lt;&gt;0,U55/O55,0)</f>
        <v>21.993760218563398</v>
      </c>
      <c r="X55" s="467" t="s">
        <v>384</v>
      </c>
      <c r="Y55" s="287" t="str">
        <f>IF(O55=0,"-",IF(AND(((F55*(1-$Y$50))&lt;W55),(W55&lt;(G55*(1+$Y$50)))),"OK", "NOK"))</f>
        <v>OK</v>
      </c>
      <c r="Z55" s="151"/>
      <c r="AA55" s="249">
        <f>IF(OR(Y55="OK",Y55="-"),1,0)</f>
        <v>1</v>
      </c>
      <c r="AB55" s="473"/>
    </row>
    <row r="56" spans="1:28" s="262" customFormat="1" ht="24" hidden="1" customHeight="1" outlineLevel="1" x14ac:dyDescent="0.3">
      <c r="A56" s="458"/>
      <c r="B56" s="2301"/>
      <c r="C56" s="2302"/>
      <c r="D56" s="2304"/>
      <c r="E56" s="882"/>
      <c r="F56" s="1694">
        <f>G55</f>
        <v>25</v>
      </c>
      <c r="G56" s="1695">
        <v>35</v>
      </c>
      <c r="H56" s="1696">
        <v>6.5000000000000002E-2</v>
      </c>
      <c r="I56" s="1516"/>
      <c r="J56" s="1697">
        <f>$L$32*(H52+(G54-F54)*H54+(G55-F55)*H55+(G56-F56)*H56)*$B$51*$C$51</f>
        <v>406.33514332229004</v>
      </c>
      <c r="K56" s="1698">
        <f>$M$32*(H52+(G54-F54)*H54+(G55-F55)*H55+(G56-F56)*H56)*$B$51*$C$51</f>
        <v>33.86126194352417</v>
      </c>
      <c r="L56" s="1697">
        <f t="shared" si="1"/>
        <v>507.91892915286257</v>
      </c>
      <c r="M56" s="1698">
        <f t="shared" si="1"/>
        <v>42.326577429405212</v>
      </c>
      <c r="N56" s="458"/>
      <c r="O56" s="887">
        <v>5500</v>
      </c>
      <c r="P56" s="467"/>
      <c r="Q56" s="286">
        <f>O56*$Q$50*M56+O56*(1-$Q$50)*K56</f>
        <v>209516.55827555578</v>
      </c>
      <c r="R56" s="458"/>
      <c r="S56" s="891">
        <f>IF(AND(Q56&lt;&gt;0,O56&lt;&gt;0),Q56/(1+$D$17+$D$18+$D$19)/O56/30/(($D$25*1000000/$D$8))*1000,0)</f>
        <v>3.3765934120699019</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3">
      <c r="A57" s="458"/>
      <c r="B57" s="2301"/>
      <c r="C57" s="2302"/>
      <c r="D57" s="2304"/>
      <c r="E57" s="882"/>
      <c r="F57" s="1694">
        <f>G56</f>
        <v>35</v>
      </c>
      <c r="G57" s="1695">
        <v>50</v>
      </c>
      <c r="H57" s="1696">
        <f>0.06</f>
        <v>0.06</v>
      </c>
      <c r="I57" s="1516"/>
      <c r="J57" s="1697">
        <f>$L$32*(H52+(G54-F54)*H54+(G55-F55)*H55+(G56-F56)*H56+(G57-F57)*H57)*$B$51*$C$51</f>
        <v>554.09337725766829</v>
      </c>
      <c r="K57" s="1698">
        <f>$M$32*(H52+(G54-F54)*H54+(G55-F55)*H55+(G56-F56)*H56+(G57-F57)*H57)*$B$51*$C$51</f>
        <v>46.174448104805684</v>
      </c>
      <c r="L57" s="1697">
        <f t="shared" si="1"/>
        <v>692.61672157208534</v>
      </c>
      <c r="M57" s="1698">
        <f t="shared" si="1"/>
        <v>57.718060131007107</v>
      </c>
      <c r="N57" s="458"/>
      <c r="O57" s="887">
        <v>366</v>
      </c>
      <c r="P57" s="467"/>
      <c r="Q57" s="286">
        <f>O57*$Q$50*M57+O57*(1-$Q$50)*K57</f>
        <v>19012.329007153741</v>
      </c>
      <c r="R57" s="458"/>
      <c r="S57" s="891">
        <f>IF(AND(Q57&lt;&gt;0,O57&lt;&gt;0),Q57/(1+$D$17+$D$18+$D$19)/O57/30/(($D$25*1000000/$D$8))*1000,0)</f>
        <v>4.6044455619135034</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hidden="1" customHeight="1" outlineLevel="1" x14ac:dyDescent="0.3">
      <c r="A58" s="458"/>
      <c r="B58" s="2301"/>
      <c r="C58" s="2302"/>
      <c r="D58" s="2304"/>
      <c r="E58" s="882"/>
      <c r="F58" s="1694">
        <f>G57</f>
        <v>50</v>
      </c>
      <c r="G58" s="1695">
        <v>100</v>
      </c>
      <c r="H58" s="1696">
        <v>0.05</v>
      </c>
      <c r="I58" s="1516"/>
      <c r="J58" s="1697">
        <f>$L$32*(H52+(G54-F54)*H54+(G55-F55)*H55+(G56-F56)*H56+(G57-F57)*H57+(G58-F58)*H58)*$B$51*$C$51</f>
        <v>964.53291596705208</v>
      </c>
      <c r="K58" s="1698">
        <f>$M$32*(H52+(G54-F54)*H54+(G55-F55)*H55+(G56-F56)*H56+(G57-F57)*H57+(G58-F58)*H58)*$B$51*$C$51</f>
        <v>80.377742997254344</v>
      </c>
      <c r="L58" s="1697">
        <f t="shared" si="1"/>
        <v>1205.666144958815</v>
      </c>
      <c r="M58" s="1698">
        <f t="shared" si="1"/>
        <v>100.47217874656793</v>
      </c>
      <c r="N58" s="458"/>
      <c r="O58" s="887">
        <v>993</v>
      </c>
      <c r="P58" s="467"/>
      <c r="Q58" s="286">
        <f>O58*$Q$50*M58+O58*(1-$Q$50)*K58</f>
        <v>89791.986145807765</v>
      </c>
      <c r="R58" s="458"/>
      <c r="S58" s="891">
        <f>IF(AND(Q58&lt;&gt;0,O58&lt;&gt;0),Q58/(1+$D$17+$D$18+$D$19)/O58/30/(($D$25*1000000/$D$8))*1000,0)</f>
        <v>8.0151459781457284</v>
      </c>
      <c r="T58" s="467" t="s">
        <v>382</v>
      </c>
      <c r="U58" s="870">
        <f>S58*O58*30*$D$11*(1+$D$24)/1000</f>
        <v>70306.218024696733</v>
      </c>
      <c r="V58" s="467" t="s">
        <v>383</v>
      </c>
      <c r="W58" s="902">
        <f>IF(O58&lt;&gt;0,U58/O58,0)</f>
        <v>70.801830840580791</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19" t="s">
        <v>386</v>
      </c>
      <c r="C60" s="2320"/>
      <c r="D60" s="2320"/>
      <c r="E60" s="2320"/>
      <c r="F60" s="2320"/>
      <c r="G60" s="2320"/>
      <c r="H60" s="2320"/>
      <c r="I60" s="2320"/>
      <c r="J60" s="2320"/>
      <c r="K60" s="2320"/>
      <c r="L60" s="2320"/>
      <c r="M60" s="2320"/>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5" t="s">
        <v>369</v>
      </c>
      <c r="C61" s="2312"/>
      <c r="D61" s="2312"/>
      <c r="E61" s="2313"/>
      <c r="F61" s="2312"/>
      <c r="G61" s="2312"/>
      <c r="H61" s="2312"/>
      <c r="I61" s="2313"/>
      <c r="J61" s="2312"/>
      <c r="K61" s="2312"/>
      <c r="L61" s="2312"/>
      <c r="M61" s="2312"/>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5" t="s">
        <v>370</v>
      </c>
      <c r="C62" s="2305" t="s">
        <v>371</v>
      </c>
      <c r="D62" s="2307"/>
      <c r="E62" s="1515"/>
      <c r="F62" s="2328" t="s">
        <v>372</v>
      </c>
      <c r="G62" s="2312"/>
      <c r="H62" s="2329"/>
      <c r="I62" s="881"/>
      <c r="J62" s="2308" t="s">
        <v>970</v>
      </c>
      <c r="K62" s="2309"/>
      <c r="L62" s="2309"/>
      <c r="M62" s="2309"/>
      <c r="N62" s="458"/>
      <c r="O62" s="265">
        <f>O65+O67+O68+O69+O70+O71</f>
        <v>27440</v>
      </c>
      <c r="P62" s="467"/>
      <c r="Q62" s="889">
        <f>Q65+Q67+Q68+Q69+Q70+Q71</f>
        <v>65161.740300098158</v>
      </c>
      <c r="R62" s="458"/>
      <c r="S62" s="2310">
        <f>IF(AND(Q62&lt;&gt;0,O62&lt;&gt;0),Q62/(1+$D$17+$D$18+$D$19)/(($D$25*1000000/$D$8)),0)</f>
        <v>173.27545038204551</v>
      </c>
      <c r="T62" s="2314" t="s">
        <v>373</v>
      </c>
      <c r="U62" s="2310">
        <f>U65+U67+U68+U69+U70+U71</f>
        <v>255104.92177821486</v>
      </c>
      <c r="V62" s="467" t="s">
        <v>374</v>
      </c>
      <c r="W62" s="2310">
        <f>W65*O65+W67*O67+W68*O68+W69*O69+W70*O70+W71*O71</f>
        <v>255104.92177821486</v>
      </c>
      <c r="X62" s="467" t="s">
        <v>374</v>
      </c>
      <c r="Y62" s="865" t="s">
        <v>375</v>
      </c>
      <c r="Z62" s="458"/>
      <c r="AA62" s="458"/>
      <c r="AB62" s="473"/>
    </row>
    <row r="63" spans="1:28" s="262" customFormat="1" ht="24" hidden="1" customHeight="1" outlineLevel="1" x14ac:dyDescent="0.3">
      <c r="A63" s="458"/>
      <c r="B63" s="2306"/>
      <c r="C63" s="1637" t="s">
        <v>376</v>
      </c>
      <c r="D63" s="1638" t="s">
        <v>377</v>
      </c>
      <c r="E63" s="1516"/>
      <c r="F63" s="2330"/>
      <c r="G63" s="2312"/>
      <c r="H63" s="2329"/>
      <c r="I63" s="882"/>
      <c r="J63" s="2331" t="s">
        <v>378</v>
      </c>
      <c r="K63" s="2332"/>
      <c r="L63" s="2333" t="s">
        <v>379</v>
      </c>
      <c r="M63" s="2332"/>
      <c r="N63" s="458"/>
      <c r="O63" s="894" t="s">
        <v>380</v>
      </c>
      <c r="P63" s="467"/>
      <c r="Q63" s="890">
        <v>0.25</v>
      </c>
      <c r="R63" s="458"/>
      <c r="S63" s="2311"/>
      <c r="T63" s="2315"/>
      <c r="U63" s="2311"/>
      <c r="V63" s="467"/>
      <c r="W63" s="2338"/>
      <c r="X63" s="467"/>
      <c r="Y63" s="893">
        <f>$Y$33</f>
        <v>0.1</v>
      </c>
      <c r="Z63" s="458"/>
      <c r="AA63" s="458"/>
      <c r="AB63" s="473"/>
    </row>
    <row r="64" spans="1:28" s="262" customFormat="1" ht="24" hidden="1" customHeight="1" outlineLevel="1" x14ac:dyDescent="0.3">
      <c r="A64" s="458"/>
      <c r="B64" s="2344">
        <f>B51*$H$15</f>
        <v>0.2</v>
      </c>
      <c r="C64" s="2344">
        <f>C51</f>
        <v>1</v>
      </c>
      <c r="D64" s="234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5"/>
      <c r="C65" s="2345"/>
      <c r="D65" s="2345"/>
      <c r="E65" s="882"/>
      <c r="F65" s="1694" t="s">
        <v>338</v>
      </c>
      <c r="G65" s="1699">
        <f>G52</f>
        <v>5</v>
      </c>
      <c r="H65" s="1700">
        <f>H52</f>
        <v>0.3</v>
      </c>
      <c r="I65" s="1516"/>
      <c r="J65" s="1701">
        <f>$L$32*H65*$B$64*$C$64</f>
        <v>9.850548929025214</v>
      </c>
      <c r="K65" s="1698">
        <f>$M$32*H65*$B$64*$C$64</f>
        <v>0.82087907741876787</v>
      </c>
      <c r="L65" s="1697">
        <f>J65*$D$51</f>
        <v>12.313186161281518</v>
      </c>
      <c r="M65" s="1698">
        <f>K65*$D$51</f>
        <v>1.0260988467734597</v>
      </c>
      <c r="N65" s="458"/>
      <c r="O65" s="887">
        <v>15000</v>
      </c>
      <c r="P65" s="467"/>
      <c r="Q65" s="286">
        <f>O65*$Q$63*M65+O65*(1-$Q$63)*K65</f>
        <v>13082.760296361614</v>
      </c>
      <c r="R65" s="458"/>
      <c r="S65" s="891">
        <f>IF(AND(Q65&lt;&gt;0,O65&lt;&gt;0),Q65/(1+$D$17+$D$18+$D$19)/$H$15/O65/30/(($D$25*1000000/$D$8))*1000,0)</f>
        <v>0.38654604717298546</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45"/>
      <c r="C66" s="2345"/>
      <c r="D66" s="234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5"/>
      <c r="C67" s="2345"/>
      <c r="D67" s="2345"/>
      <c r="E67" s="882"/>
      <c r="F67" s="1694">
        <f>G65</f>
        <v>5</v>
      </c>
      <c r="G67" s="1699">
        <f t="shared" ref="G67:H71" si="2">G54</f>
        <v>15</v>
      </c>
      <c r="H67" s="1700">
        <f t="shared" si="2"/>
        <v>0.08</v>
      </c>
      <c r="I67" s="1516"/>
      <c r="J67" s="1701">
        <f>$L$32*(H65+(G67-F67)*H67)*$B$64*$C$64</f>
        <v>36.118679406425791</v>
      </c>
      <c r="K67" s="1698">
        <f>$M$32*(H65+(G67-F67)*H67)*$B$64*$C$64</f>
        <v>3.0098899505354821</v>
      </c>
      <c r="L67" s="1697">
        <f t="shared" ref="L67:M71" si="3">J67*$D$51</f>
        <v>45.148349258032241</v>
      </c>
      <c r="M67" s="1698">
        <f t="shared" si="3"/>
        <v>3.7623624381693528</v>
      </c>
      <c r="N67" s="458"/>
      <c r="O67" s="887">
        <v>8400</v>
      </c>
      <c r="P67" s="467"/>
      <c r="Q67" s="286">
        <f>O67*$Q$63*M67+O67*(1-$Q$63)*K67</f>
        <v>26863.267808529177</v>
      </c>
      <c r="R67" s="458"/>
      <c r="S67" s="891">
        <f>IF(AND(Q67&lt;&gt;0,O67&lt;&gt;0),Q67/(1+$D$17+$D$18+$D$19)/$H$15/O67/30/(($D$25*1000000/$D$8))*1000,0)</f>
        <v>1.4173355063009467</v>
      </c>
      <c r="T67" s="467" t="s">
        <v>382</v>
      </c>
      <c r="U67" s="870">
        <f>S67*O67*30*$D$11*(1+$D$24)/1000</f>
        <v>105168.33653369675</v>
      </c>
      <c r="V67" s="467" t="s">
        <v>383</v>
      </c>
      <c r="W67" s="870">
        <f>IF(O67&lt;&gt;0,U67/O67,0)</f>
        <v>12.520040063535328</v>
      </c>
      <c r="X67" s="467" t="s">
        <v>384</v>
      </c>
      <c r="Y67" s="287" t="str">
        <f>IF(O67=0,"-",IF(AND(((F67*(1-$Y$63))&lt;W67),(W67&lt;(G67*(1+$Y$63)))),"OK", "NOK"))</f>
        <v>OK</v>
      </c>
      <c r="Z67" s="284">
        <f>W67/$H$15</f>
        <v>62.600200317676638</v>
      </c>
      <c r="AA67" s="249">
        <f>IF(OR(Y67="OK",Y67="-"),1,0)</f>
        <v>1</v>
      </c>
      <c r="AB67" s="459"/>
    </row>
    <row r="68" spans="1:28" s="262" customFormat="1" ht="24" hidden="1" customHeight="1" outlineLevel="1" x14ac:dyDescent="0.3">
      <c r="A68" s="458"/>
      <c r="B68" s="2345"/>
      <c r="C68" s="2345"/>
      <c r="D68" s="2345"/>
      <c r="E68" s="882"/>
      <c r="F68" s="1694">
        <f>G67</f>
        <v>15</v>
      </c>
      <c r="G68" s="1699">
        <f t="shared" si="2"/>
        <v>25</v>
      </c>
      <c r="H68" s="1700">
        <f t="shared" si="2"/>
        <v>7.2499999999999995E-2</v>
      </c>
      <c r="I68" s="1516"/>
      <c r="J68" s="1701">
        <f>$L$32*(H65+(G67-F67)*H67+(G68-F68)*H68)*$B$64*$C$64</f>
        <v>59.924172651570053</v>
      </c>
      <c r="K68" s="1698">
        <f>$M$32*(H65+(G67-F67)*H67+(G68-F68)*H68)*$B$64*$C$64</f>
        <v>4.9936810542975048</v>
      </c>
      <c r="L68" s="1697">
        <f t="shared" si="3"/>
        <v>74.905215814462565</v>
      </c>
      <c r="M68" s="1698">
        <f t="shared" si="3"/>
        <v>6.2421013178718807</v>
      </c>
      <c r="N68" s="458"/>
      <c r="O68" s="887">
        <v>2960</v>
      </c>
      <c r="P68" s="467"/>
      <c r="Q68" s="286">
        <f>O68*$Q$63*M68+O68*(1-$Q$63)*K68</f>
        <v>15705.126915765653</v>
      </c>
      <c r="R68" s="458"/>
      <c r="S68" s="891">
        <f>IF(AND(Q68&lt;&gt;0,O68&lt;&gt;0),Q68/(1+$D$17+$D$18+$D$19)/$H$15/O68/30/(($D$25*1000000/$D$8))*1000,0)</f>
        <v>2.3514884536356617</v>
      </c>
      <c r="T68" s="467" t="s">
        <v>382</v>
      </c>
      <c r="U68" s="870">
        <f>S68*O68*30*$D$11*(1+$D$24)/1000</f>
        <v>61484.778566561676</v>
      </c>
      <c r="V68" s="467" t="s">
        <v>383</v>
      </c>
      <c r="W68" s="870">
        <f>IF(O68&lt;&gt;0,U68/O68,0)</f>
        <v>20.771884650865431</v>
      </c>
      <c r="X68" s="467" t="s">
        <v>384</v>
      </c>
      <c r="Y68" s="287" t="str">
        <f>IF(O68=0,"-",IF(AND(((F68*(1-$Y$63))&lt;W68),(W68&lt;(G68*(1+$Y$63)))),"OK", "NOK"))</f>
        <v>OK</v>
      </c>
      <c r="Z68" s="284">
        <f>W68/$H$15</f>
        <v>103.85942325432715</v>
      </c>
      <c r="AA68" s="249">
        <f>IF(OR(Y68="OK",Y68="-"),1,0)</f>
        <v>1</v>
      </c>
      <c r="AB68" s="459"/>
    </row>
    <row r="69" spans="1:28" s="262" customFormat="1" ht="24" hidden="1" customHeight="1" outlineLevel="1" x14ac:dyDescent="0.3">
      <c r="A69" s="458"/>
      <c r="B69" s="2345"/>
      <c r="C69" s="2345"/>
      <c r="D69" s="2345"/>
      <c r="E69" s="882"/>
      <c r="F69" s="1694">
        <f>G68</f>
        <v>25</v>
      </c>
      <c r="G69" s="1699">
        <f t="shared" si="2"/>
        <v>35</v>
      </c>
      <c r="H69" s="1700">
        <f t="shared" si="2"/>
        <v>6.5000000000000002E-2</v>
      </c>
      <c r="I69" s="1516"/>
      <c r="J69" s="1701">
        <f>$L$32*(H65+(G67-F67)*H67+(G68-F68)*H68+(G69-F69)*H69)*$B$64*$C$64</f>
        <v>81.26702866445801</v>
      </c>
      <c r="K69" s="1698">
        <f>$M$32*(H65+(G67-F67)*H67+(G68-F68)*H68+(G69-F69)*H69)*$B$64*$C$64</f>
        <v>6.7722523887048345</v>
      </c>
      <c r="L69" s="1697">
        <f t="shared" si="3"/>
        <v>101.58378583057251</v>
      </c>
      <c r="M69" s="1698">
        <f t="shared" si="3"/>
        <v>8.4653154858810424</v>
      </c>
      <c r="N69" s="458"/>
      <c r="O69" s="887">
        <v>693</v>
      </c>
      <c r="P69" s="467"/>
      <c r="Q69" s="286">
        <f>O69*$Q$63*M69+O69*(1-$Q$63)*K69</f>
        <v>4986.4940869582288</v>
      </c>
      <c r="R69" s="458"/>
      <c r="S69" s="891">
        <f>IF(AND(Q69&lt;&gt;0,O69&lt;&gt;0),Q69/(1+$D$17+$D$18+$D$19)/$H$15/O69/30/(($D$25*1000000/$D$8))*1000,0)</f>
        <v>3.1890048891771308</v>
      </c>
      <c r="T69" s="467" t="s">
        <v>382</v>
      </c>
      <c r="U69" s="870">
        <f>S69*O69*30*$D$11*(1+$D$24)/1000</f>
        <v>19521.872469067464</v>
      </c>
      <c r="V69" s="467" t="s">
        <v>383</v>
      </c>
      <c r="W69" s="870">
        <f>IF(O69&lt;&gt;0,U69/O69,0)</f>
        <v>28.170090142954493</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3">
      <c r="A70" s="458"/>
      <c r="B70" s="2345"/>
      <c r="C70" s="2345"/>
      <c r="D70" s="2345"/>
      <c r="E70" s="882"/>
      <c r="F70" s="1694">
        <f>G69</f>
        <v>35</v>
      </c>
      <c r="G70" s="1699">
        <f t="shared" si="2"/>
        <v>50</v>
      </c>
      <c r="H70" s="1700">
        <f t="shared" si="2"/>
        <v>0.06</v>
      </c>
      <c r="I70" s="1516"/>
      <c r="J70" s="1701">
        <f>$L$32*(H65+(G67-F67)*H67+(G68-F68)*H68+(G69-F69)*H69+(G70-F70)*H70)*$B$64*$C$64</f>
        <v>110.81867545153366</v>
      </c>
      <c r="K70" s="1698">
        <f>$M$32*(H65+(G67-F67)*H67+(G68-F68)*H68+(G69-F69)*H69+(G70-F70)*H70)*$B$64*$C$64</f>
        <v>9.2348896209611375</v>
      </c>
      <c r="L70" s="1697">
        <f t="shared" si="3"/>
        <v>138.52334431441707</v>
      </c>
      <c r="M70" s="1698">
        <f t="shared" si="3"/>
        <v>11.543612026201423</v>
      </c>
      <c r="N70" s="458"/>
      <c r="O70" s="887">
        <v>287</v>
      </c>
      <c r="P70" s="467"/>
      <c r="Q70" s="286">
        <f>O70*$Q$63*M70+O70*(1-$Q$63)*K70</f>
        <v>2816.0641537918368</v>
      </c>
      <c r="R70" s="458"/>
      <c r="S70" s="891">
        <f>IF(AND(Q70&lt;&gt;0,O70&lt;&gt;0),Q70/(1+$D$17+$D$18+$D$19)/$H$15/O70/30/(($D$25*1000000/$D$8))*1000,0)</f>
        <v>4.3486430306960866</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hidden="1" customHeight="1" outlineLevel="1" x14ac:dyDescent="0.3">
      <c r="A71" s="458"/>
      <c r="B71" s="2346"/>
      <c r="C71" s="2346"/>
      <c r="D71" s="2346"/>
      <c r="E71" s="882"/>
      <c r="F71" s="1694">
        <f>G70</f>
        <v>50</v>
      </c>
      <c r="G71" s="1699">
        <f t="shared" si="2"/>
        <v>100</v>
      </c>
      <c r="H71" s="1700">
        <f t="shared" si="2"/>
        <v>0.05</v>
      </c>
      <c r="I71" s="1516"/>
      <c r="J71" s="1701">
        <f>$L$32*(H65+(G67-F67)*H67+(G68-F68)*H68+(G69-F69)*H69+(G70-F70)*H70+(G71-F71)*H71)*$B$64*$C$64</f>
        <v>192.90658319341043</v>
      </c>
      <c r="K71" s="1698">
        <f>$M$32*(H65+(G67-F67)*H67+(G68-F68)*H68+(G69-F69)*H69+(G70-F70)*H70+(G71-F71)*H71)*$B$64*$C$64</f>
        <v>16.075548599450869</v>
      </c>
      <c r="L71" s="1697">
        <f t="shared" si="3"/>
        <v>241.13322899176302</v>
      </c>
      <c r="M71" s="1698">
        <f t="shared" si="3"/>
        <v>20.094435749313586</v>
      </c>
      <c r="N71" s="458"/>
      <c r="O71" s="887">
        <v>100</v>
      </c>
      <c r="P71" s="467"/>
      <c r="Q71" s="286">
        <f>O71*$Q$63*M71+O71*(1-$Q$63)*K71</f>
        <v>1708.027038691655</v>
      </c>
      <c r="R71" s="458"/>
      <c r="S71" s="891">
        <f>IF(AND(Q71&lt;&gt;0,O71&lt;&gt;0),Q71/(1+$D$17+$D$18+$D$19)/$H$15/O71/30/(($D$25*1000000/$D$8))*1000,0)</f>
        <v>7.5698600904709652</v>
      </c>
      <c r="T71" s="467" t="s">
        <v>382</v>
      </c>
      <c r="U71" s="870">
        <f>S71*O71*30*$D$11*(1+$D$24)/1000</f>
        <v>6686.8395793881864</v>
      </c>
      <c r="V71" s="467" t="s">
        <v>383</v>
      </c>
      <c r="W71" s="870">
        <f>IF(O71&lt;&gt;0,U71/O71,0)</f>
        <v>66.868395793881859</v>
      </c>
      <c r="X71" s="467" t="s">
        <v>384</v>
      </c>
      <c r="Y71" s="287" t="str">
        <f>IF(O71=0,"-",IF(AND(((F71*(1-$Y$63))&lt;W71),(W71&lt;(G71*(1+$Y$63)))),"OK", "NOK"))</f>
        <v>OK</v>
      </c>
      <c r="Z71" s="284">
        <f>W71/$H$15</f>
        <v>334.3419789694093</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19" t="s">
        <v>762</v>
      </c>
      <c r="C73" s="2320"/>
      <c r="D73" s="2320"/>
      <c r="E73" s="2320"/>
      <c r="F73" s="2320"/>
      <c r="G73" s="2320"/>
      <c r="H73" s="2320"/>
      <c r="I73" s="2320"/>
      <c r="J73" s="2320"/>
      <c r="K73" s="2320"/>
      <c r="L73" s="2320"/>
      <c r="M73" s="2320"/>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5" t="s">
        <v>369</v>
      </c>
      <c r="C74" s="2312"/>
      <c r="D74" s="2312"/>
      <c r="E74" s="2313"/>
      <c r="F74" s="2312"/>
      <c r="G74" s="2312"/>
      <c r="H74" s="2312"/>
      <c r="I74" s="2313"/>
      <c r="J74" s="2312"/>
      <c r="K74" s="2312"/>
      <c r="L74" s="2312"/>
      <c r="M74" s="2312"/>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5" t="s">
        <v>370</v>
      </c>
      <c r="C75" s="2305" t="s">
        <v>371</v>
      </c>
      <c r="D75" s="2307"/>
      <c r="E75" s="1515"/>
      <c r="F75" s="2328" t="s">
        <v>372</v>
      </c>
      <c r="G75" s="2312"/>
      <c r="H75" s="2329"/>
      <c r="I75" s="881"/>
      <c r="J75" s="2308" t="s">
        <v>970</v>
      </c>
      <c r="K75" s="2309"/>
      <c r="L75" s="2309"/>
      <c r="M75" s="2309"/>
      <c r="N75" s="458"/>
      <c r="O75" s="265">
        <f>O78+O80+O81+O82+O83+O84</f>
        <v>27440</v>
      </c>
      <c r="P75" s="467"/>
      <c r="Q75" s="889">
        <f>Q78+Q80+Q81+Q82+Q83+Q84</f>
        <v>942123.43020294304</v>
      </c>
      <c r="R75" s="458"/>
      <c r="S75" s="2310">
        <f>IF(AND(Q75&lt;&gt;0,O75&lt;&gt;0),Q75/(1+$D$17+$D$18+$D$19)/(($D$25*1000000/$D$8)),0)</f>
        <v>2505.2563196143897</v>
      </c>
      <c r="T75" s="2314" t="s">
        <v>373</v>
      </c>
      <c r="U75" s="2310">
        <f>U78+U80+U81+U82+U83+U84</f>
        <v>737673.12800570868</v>
      </c>
      <c r="V75" s="467" t="s">
        <v>374</v>
      </c>
      <c r="W75" s="2310">
        <f>W78*O78+W80*O80+W81*O81+W82*O82+W83*O83+W84*O84</f>
        <v>737673.12800570868</v>
      </c>
      <c r="X75" s="467" t="s">
        <v>374</v>
      </c>
      <c r="Y75" s="865" t="s">
        <v>375</v>
      </c>
      <c r="Z75" s="151"/>
      <c r="AA75" s="151"/>
      <c r="AB75" s="473"/>
    </row>
    <row r="76" spans="1:28" s="262" customFormat="1" ht="24" hidden="1" customHeight="1" outlineLevel="1" x14ac:dyDescent="0.3">
      <c r="A76" s="459"/>
      <c r="B76" s="2306"/>
      <c r="C76" s="1637" t="s">
        <v>376</v>
      </c>
      <c r="D76" s="1638" t="s">
        <v>377</v>
      </c>
      <c r="E76" s="1516"/>
      <c r="F76" s="2330"/>
      <c r="G76" s="2312"/>
      <c r="H76" s="2329"/>
      <c r="I76" s="882"/>
      <c r="J76" s="2331" t="s">
        <v>378</v>
      </c>
      <c r="K76" s="2332"/>
      <c r="L76" s="2333" t="s">
        <v>379</v>
      </c>
      <c r="M76" s="2332"/>
      <c r="N76" s="458"/>
      <c r="O76" s="894" t="s">
        <v>380</v>
      </c>
      <c r="P76" s="467"/>
      <c r="Q76" s="890">
        <v>0.5</v>
      </c>
      <c r="R76" s="458"/>
      <c r="S76" s="2311"/>
      <c r="T76" s="2315"/>
      <c r="U76" s="2311"/>
      <c r="V76" s="467"/>
      <c r="W76" s="2338"/>
      <c r="X76" s="467"/>
      <c r="Y76" s="893">
        <f>$Y$33</f>
        <v>0.1</v>
      </c>
      <c r="Z76" s="151"/>
      <c r="AA76" s="151"/>
      <c r="AB76" s="473"/>
    </row>
    <row r="77" spans="1:28" s="262" customFormat="1" ht="24" hidden="1" customHeight="1" outlineLevel="1" x14ac:dyDescent="0.3">
      <c r="A77" s="459"/>
      <c r="B77" s="2300">
        <v>2</v>
      </c>
      <c r="C77" s="2300">
        <v>1</v>
      </c>
      <c r="D77" s="230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1"/>
      <c r="C78" s="2342"/>
      <c r="D78" s="2343"/>
      <c r="E78" s="882"/>
      <c r="F78" s="1694" t="s">
        <v>338</v>
      </c>
      <c r="G78" s="1695">
        <v>5</v>
      </c>
      <c r="H78" s="1696">
        <f>0.35-0.25</f>
        <v>9.9999999999999978E-2</v>
      </c>
      <c r="I78" s="1516"/>
      <c r="J78" s="1697">
        <f>$L$32*H78*$B$77*$C$77</f>
        <v>32.835163096750705</v>
      </c>
      <c r="K78" s="1698">
        <f>$M$32*H78*$B$77*$C$77</f>
        <v>2.7362635913958919</v>
      </c>
      <c r="L78" s="1697">
        <f>J78*$D$77</f>
        <v>41.043953870938381</v>
      </c>
      <c r="M78" s="1698">
        <f>K78*$D$77</f>
        <v>3.4203294892448648</v>
      </c>
      <c r="N78" s="458"/>
      <c r="O78" s="887">
        <v>7692</v>
      </c>
      <c r="P78" s="467"/>
      <c r="Q78" s="286">
        <f>O78*$Q$76*M78+O78*(1-$Q$76)*K78</f>
        <v>23678.256988144349</v>
      </c>
      <c r="R78" s="458"/>
      <c r="S78" s="891">
        <f>IF(AND(Q78&lt;&gt;0,O78&lt;&gt;0),Q78/(1+$D$17+$D$18+$D$19)/O78/30/(($D$25*1000000/$D$8))*1000,0)</f>
        <v>0.27285603329857788</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1"/>
      <c r="C79" s="2342"/>
      <c r="D79" s="234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1"/>
      <c r="C80" s="2342"/>
      <c r="D80" s="2343"/>
      <c r="E80" s="882"/>
      <c r="F80" s="1694">
        <f>G78</f>
        <v>5</v>
      </c>
      <c r="G80" s="1695">
        <v>20</v>
      </c>
      <c r="H80" s="1696">
        <f>0.05</f>
        <v>0.05</v>
      </c>
      <c r="I80" s="1516"/>
      <c r="J80" s="1697">
        <f>$L$32*(H78+(G80-F80)*H80)*$B$77*$C$77</f>
        <v>279.09888632238102</v>
      </c>
      <c r="K80" s="1698">
        <f>$M$32*(H78+(G80-F80)*H80)*$B$77*$C$77</f>
        <v>23.258240526865087</v>
      </c>
      <c r="L80" s="1697">
        <f t="shared" ref="L80:M84" si="4">J80*$D$77</f>
        <v>348.87360790297629</v>
      </c>
      <c r="M80" s="1698">
        <f t="shared" si="4"/>
        <v>29.072800658581357</v>
      </c>
      <c r="N80" s="458"/>
      <c r="O80" s="887">
        <v>8500</v>
      </c>
      <c r="P80" s="467"/>
      <c r="Q80" s="286">
        <f>O80*$Q$76*M80+O80*(1-$Q$76)*K80</f>
        <v>222406.92503814737</v>
      </c>
      <c r="R80" s="458"/>
      <c r="S80" s="891">
        <f>IF(AND(Q80&lt;&gt;0,O80&lt;&gt;0),Q80/(1+$D$17+$D$18+$D$19)/O80/30/(($D$25*1000000/$D$8))*1000,0)</f>
        <v>2.3192762830379126</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3">
      <c r="A81" s="458"/>
      <c r="B81" s="2301"/>
      <c r="C81" s="2342"/>
      <c r="D81" s="2343"/>
      <c r="E81" s="882"/>
      <c r="F81" s="1694">
        <f>G80</f>
        <v>20</v>
      </c>
      <c r="G81" s="1695">
        <v>30</v>
      </c>
      <c r="H81" s="1696">
        <f>0.045</f>
        <v>4.4999999999999998E-2</v>
      </c>
      <c r="I81" s="1516"/>
      <c r="J81" s="1697">
        <f>$L$32*(H78+(G80-F80)*H80+(G81-F81)*H81)*$B$77*$C$77</f>
        <v>426.85712025775916</v>
      </c>
      <c r="K81" s="1698">
        <f>$M$32*(H78+(G80-F80)*H80+(G81-F81)*H81)*$B$77*$C$77</f>
        <v>35.571426688146602</v>
      </c>
      <c r="L81" s="1697">
        <f t="shared" si="4"/>
        <v>533.571400322199</v>
      </c>
      <c r="M81" s="1698">
        <f t="shared" si="4"/>
        <v>44.464283360183252</v>
      </c>
      <c r="N81" s="458"/>
      <c r="O81" s="887">
        <v>2573</v>
      </c>
      <c r="P81" s="467"/>
      <c r="Q81" s="286">
        <f>O81*$Q$76*M81+O81*(1-$Q$76)*K81</f>
        <v>102965.94097717636</v>
      </c>
      <c r="R81" s="458"/>
      <c r="S81" s="891">
        <f>IF(AND(Q81&lt;&gt;0,O81&lt;&gt;0),Q81/(1+$D$17+$D$18+$D$19)/O81/30/(($D$25*1000000/$D$8))*1000,0)</f>
        <v>3.5471284328815131</v>
      </c>
      <c r="T81" s="467" t="s">
        <v>382</v>
      </c>
      <c r="U81" s="870">
        <f>S81*O81*30*$D$11*(1+$D$24)/1000</f>
        <v>80621.291567202978</v>
      </c>
      <c r="V81" s="467" t="s">
        <v>383</v>
      </c>
      <c r="W81" s="870">
        <f>IF(O81&lt;&gt;0,U81/O81,0)</f>
        <v>31.333576201788954</v>
      </c>
      <c r="X81" s="467" t="s">
        <v>383</v>
      </c>
      <c r="Y81" s="287" t="str">
        <f>IF(O81=0,"-",IF(AND(((F81*(1-$Y$76))&lt;W81),(W81&lt;(G81*(1+$Y$76)))),"OK", "NOK"))</f>
        <v>OK</v>
      </c>
      <c r="Z81" s="151"/>
      <c r="AA81" s="249">
        <f>IF(OR(Y81="OK",Y81="-"),1,0)</f>
        <v>1</v>
      </c>
      <c r="AB81" s="473"/>
    </row>
    <row r="82" spans="1:28" s="262" customFormat="1" ht="24" hidden="1" customHeight="1" outlineLevel="1" x14ac:dyDescent="0.3">
      <c r="A82" s="458"/>
      <c r="B82" s="2301"/>
      <c r="C82" s="2342"/>
      <c r="D82" s="2343"/>
      <c r="E82" s="882"/>
      <c r="F82" s="1694">
        <f>G81</f>
        <v>30</v>
      </c>
      <c r="G82" s="1695">
        <v>40</v>
      </c>
      <c r="H82" s="1696">
        <f>0.04</f>
        <v>0.04</v>
      </c>
      <c r="I82" s="1516"/>
      <c r="J82" s="1697">
        <f>$L$32*(H78+(G80-F80)*H80+(G81-F81)*H81+(G82-F82)*H82)*$B$77*$C$77</f>
        <v>558.19777264476204</v>
      </c>
      <c r="K82" s="1698">
        <f>$M$32*(H78+(G80-F80)*H80+(G81-F81)*H81+(G82-F82)*H82)*$B$77*$C$77</f>
        <v>46.516481053730168</v>
      </c>
      <c r="L82" s="1697">
        <f t="shared" si="4"/>
        <v>697.74721580595258</v>
      </c>
      <c r="M82" s="1698">
        <f t="shared" si="4"/>
        <v>58.145601317162708</v>
      </c>
      <c r="N82" s="458"/>
      <c r="O82" s="887">
        <v>4825</v>
      </c>
      <c r="P82" s="467"/>
      <c r="Q82" s="286">
        <f>O82*$Q$76*M82+O82*(1-$Q$76)*K82</f>
        <v>252497.27371977904</v>
      </c>
      <c r="R82" s="458"/>
      <c r="S82" s="891">
        <f>IF(AND(Q82&lt;&gt;0,O82&lt;&gt;0),Q82/(1+$D$17+$D$18+$D$19)/O82/30/(($D$25*1000000/$D$8))*1000,0)</f>
        <v>4.6385525660758242</v>
      </c>
      <c r="T82" s="467" t="s">
        <v>382</v>
      </c>
      <c r="U82" s="870">
        <f>S82*O82*30*$D$11*(1+$D$24)/1000</f>
        <v>197702.814457826</v>
      </c>
      <c r="V82" s="467" t="s">
        <v>383</v>
      </c>
      <c r="W82" s="870">
        <f>IF(O82&lt;&gt;0,U82/O82,0)</f>
        <v>40.974676571570157</v>
      </c>
      <c r="X82" s="467" t="s">
        <v>383</v>
      </c>
      <c r="Y82" s="287" t="str">
        <f>IF(O82=0,"-",IF(AND(((F82*(1-$Y$76))&lt;W82),(W82&lt;(G82*(1+$Y$76)))),"OK", "NOK"))</f>
        <v>OK</v>
      </c>
      <c r="Z82" s="151"/>
      <c r="AA82" s="249">
        <f>IF(OR(Y82="OK",Y82="-"),1,0)</f>
        <v>1</v>
      </c>
      <c r="AB82" s="473"/>
    </row>
    <row r="83" spans="1:28" s="262" customFormat="1" ht="24" hidden="1" customHeight="1" outlineLevel="1" x14ac:dyDescent="0.3">
      <c r="A83" s="458"/>
      <c r="B83" s="2301"/>
      <c r="C83" s="2342"/>
      <c r="D83" s="2343"/>
      <c r="E83" s="882"/>
      <c r="F83" s="1694">
        <f>G82</f>
        <v>40</v>
      </c>
      <c r="G83" s="1695">
        <v>55</v>
      </c>
      <c r="H83" s="1696">
        <f>0.035</f>
        <v>3.5000000000000003E-2</v>
      </c>
      <c r="I83" s="1516"/>
      <c r="J83" s="1697">
        <f>$L$32*(H78+(G80-F80)*H80+(G81-F81)*H81+(G82-F82)*H82+(G83-F83)*H83)*$B$77*$C$77</f>
        <v>730.58237890270323</v>
      </c>
      <c r="K83" s="1698">
        <f>$M$32*(H78+(G80-F80)*H80+(G81-F81)*H81+(G82-F82)*H82+(G83-F83)*H83)*$B$77*$C$77</f>
        <v>60.881864908558597</v>
      </c>
      <c r="L83" s="1697">
        <f t="shared" si="4"/>
        <v>913.227973628379</v>
      </c>
      <c r="M83" s="1698">
        <f t="shared" si="4"/>
        <v>76.10233113569825</v>
      </c>
      <c r="N83" s="458"/>
      <c r="O83" s="887">
        <v>2000</v>
      </c>
      <c r="P83" s="467"/>
      <c r="Q83" s="286">
        <f>O83*$Q$76*M83+O83*(1-$Q$76)*K83</f>
        <v>136984.19604425685</v>
      </c>
      <c r="R83" s="458"/>
      <c r="S83" s="891">
        <f>IF(AND(Q83&lt;&gt;0,O83&lt;&gt;0),Q83/(1+$D$17+$D$18+$D$19)/O83/30/(($D$25*1000000/$D$8))*1000,0)</f>
        <v>6.0710467408933591</v>
      </c>
      <c r="T83" s="467" t="s">
        <v>382</v>
      </c>
      <c r="U83" s="870">
        <f>S83*O83*30*$D$11*(1+$D$24)/1000</f>
        <v>107257.241613816</v>
      </c>
      <c r="V83" s="1620" t="s">
        <v>383</v>
      </c>
      <c r="W83" s="870">
        <f>IF(O83&lt;&gt;0,U83/O83,0)</f>
        <v>53.628620806908003</v>
      </c>
      <c r="X83" s="467" t="s">
        <v>383</v>
      </c>
      <c r="Y83" s="287" t="str">
        <f>IF(O83=0,"-",IF(AND(((F83*(1-$Y$76))&lt;W83),(W83&lt;(G83*(1+$Y$76)))),"OK", "NOK"))</f>
        <v>OK</v>
      </c>
      <c r="Z83" s="151"/>
      <c r="AA83" s="249">
        <f>IF(OR(Y83="OK",Y83="-"),1,0)</f>
        <v>1</v>
      </c>
      <c r="AB83" s="473"/>
    </row>
    <row r="84" spans="1:28" s="262" customFormat="1" ht="24" hidden="1" customHeight="1" outlineLevel="1" x14ac:dyDescent="0.3">
      <c r="A84" s="458"/>
      <c r="B84" s="2301"/>
      <c r="C84" s="2342"/>
      <c r="D84" s="2343"/>
      <c r="E84" s="882"/>
      <c r="F84" s="1694">
        <f>G83</f>
        <v>55</v>
      </c>
      <c r="G84" s="1695">
        <v>100</v>
      </c>
      <c r="H84" s="1696">
        <f>0.03</f>
        <v>0.03</v>
      </c>
      <c r="I84" s="1516"/>
      <c r="J84" s="1697">
        <f>$L$32*(H78+(G80-F80)*H80+(G81-F81)*H81+(G82-F82)*H82+(G83-F83)*H83+(G84-F84)*H84)*$B$77*$C$77</f>
        <v>1173.8570807088377</v>
      </c>
      <c r="K84" s="1698">
        <f>$M$32*(H78+(G80-F80)*H80+(G81-F81)*H81+(G82-F82)*H82+(G83-F83)*H83+(G84-F84)*H84)*$B$77*$C$77</f>
        <v>97.821423392403133</v>
      </c>
      <c r="L84" s="1697">
        <f t="shared" si="4"/>
        <v>1467.3213508860472</v>
      </c>
      <c r="M84" s="1698">
        <f t="shared" si="4"/>
        <v>122.27677924050391</v>
      </c>
      <c r="N84" s="458"/>
      <c r="O84" s="887">
        <v>1850</v>
      </c>
      <c r="P84" s="467"/>
      <c r="Q84" s="286">
        <f>O84*$Q$76*M84+O84*(1-$Q$76)*K84</f>
        <v>203590.837435439</v>
      </c>
      <c r="R84" s="458"/>
      <c r="S84" s="891">
        <f>IF(AND(Q84&lt;&gt;0,O84&lt;&gt;0),Q84/(1+$D$17+$D$18+$D$19)/O84/30/(($D$25*1000000/$D$8))*1000,0)</f>
        <v>9.7546031904241577</v>
      </c>
      <c r="T84" s="467" t="s">
        <v>382</v>
      </c>
      <c r="U84" s="870">
        <f>S84*O84*30*$D$11*(1+$D$24)/1000</f>
        <v>159409.56892660121</v>
      </c>
      <c r="V84" s="467" t="s">
        <v>383</v>
      </c>
      <c r="W84" s="870">
        <f>IF(O84&lt;&gt;0,U84/O84,0)</f>
        <v>86.167334554919577</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19" t="s">
        <v>387</v>
      </c>
      <c r="C86" s="2320"/>
      <c r="D86" s="2320"/>
      <c r="E86" s="2320"/>
      <c r="F86" s="2320"/>
      <c r="G86" s="2320"/>
      <c r="H86" s="2320"/>
      <c r="I86" s="2320"/>
      <c r="J86" s="2320"/>
      <c r="K86" s="2320"/>
      <c r="L86" s="2320"/>
      <c r="M86" s="2320"/>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5" t="s">
        <v>369</v>
      </c>
      <c r="C87" s="2312"/>
      <c r="D87" s="2312"/>
      <c r="E87" s="2313"/>
      <c r="F87" s="2312"/>
      <c r="G87" s="2312"/>
      <c r="H87" s="2312"/>
      <c r="I87" s="2313"/>
      <c r="J87" s="2312"/>
      <c r="K87" s="2312"/>
      <c r="L87" s="2312"/>
      <c r="M87" s="2312"/>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5" t="s">
        <v>370</v>
      </c>
      <c r="C88" s="2305" t="s">
        <v>371</v>
      </c>
      <c r="D88" s="2307"/>
      <c r="E88" s="1515"/>
      <c r="F88" s="2328" t="s">
        <v>372</v>
      </c>
      <c r="G88" s="2312"/>
      <c r="H88" s="2329"/>
      <c r="I88" s="881"/>
      <c r="J88" s="2308" t="s">
        <v>970</v>
      </c>
      <c r="K88" s="2309"/>
      <c r="L88" s="2309"/>
      <c r="M88" s="2309"/>
      <c r="N88" s="458"/>
      <c r="O88" s="287">
        <f>O91+O93+O94+O95+O96</f>
        <v>5</v>
      </c>
      <c r="P88" s="467"/>
      <c r="Q88" s="889">
        <f>Q91+Q93+Q94+Q95+Q96</f>
        <v>797.62083689190263</v>
      </c>
      <c r="R88" s="458"/>
      <c r="S88" s="2310">
        <f>IF(AND(Q88&lt;&gt;0,O88&lt;&gt;0),Q88/(1+$D$17+$D$18+$D$19)/(($D$25*1000000/$D$8)),0)</f>
        <v>2.1210008988409457</v>
      </c>
      <c r="T88" s="2314" t="s">
        <v>373</v>
      </c>
      <c r="U88" s="2310">
        <f>U91+U93+U94+U95+U96+Z97</f>
        <v>624.52905728693872</v>
      </c>
      <c r="V88" s="458" t="s">
        <v>374</v>
      </c>
      <c r="W88" s="2310">
        <f>W91*O91+W93*O93+W94*O94+W95*O95+W96*O96</f>
        <v>624.52905728693872</v>
      </c>
      <c r="X88" s="467" t="s">
        <v>374</v>
      </c>
      <c r="Y88" s="865" t="s">
        <v>375</v>
      </c>
      <c r="Z88" s="151"/>
      <c r="AA88" s="151"/>
      <c r="AB88" s="473"/>
    </row>
    <row r="89" spans="1:28" s="262" customFormat="1" ht="24" hidden="1" customHeight="1" outlineLevel="1" x14ac:dyDescent="0.3">
      <c r="A89" s="458"/>
      <c r="B89" s="2306"/>
      <c r="C89" s="1637" t="s">
        <v>376</v>
      </c>
      <c r="D89" s="1638" t="s">
        <v>377</v>
      </c>
      <c r="E89" s="1516"/>
      <c r="F89" s="2330"/>
      <c r="G89" s="2312"/>
      <c r="H89" s="2329"/>
      <c r="I89" s="882"/>
      <c r="J89" s="2331" t="s">
        <v>378</v>
      </c>
      <c r="K89" s="2332"/>
      <c r="L89" s="2333" t="s">
        <v>379</v>
      </c>
      <c r="M89" s="2332"/>
      <c r="N89" s="458"/>
      <c r="O89" s="894" t="s">
        <v>380</v>
      </c>
      <c r="P89" s="467"/>
      <c r="Q89" s="890">
        <v>0.25</v>
      </c>
      <c r="R89" s="458"/>
      <c r="S89" s="2311"/>
      <c r="T89" s="2315"/>
      <c r="U89" s="2311"/>
      <c r="V89" s="458"/>
      <c r="W89" s="2338"/>
      <c r="X89" s="467"/>
      <c r="Y89" s="893">
        <f>$Y$33</f>
        <v>0.1</v>
      </c>
      <c r="Z89" s="151"/>
      <c r="AA89" s="151"/>
      <c r="AB89" s="473"/>
    </row>
    <row r="90" spans="1:28" s="262" customFormat="1" ht="24" hidden="1" customHeight="1" outlineLevel="1" x14ac:dyDescent="0.3">
      <c r="A90" s="458"/>
      <c r="B90" s="2300">
        <v>2</v>
      </c>
      <c r="C90" s="2300">
        <v>1</v>
      </c>
      <c r="D90" s="230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1"/>
      <c r="C91" s="2302"/>
      <c r="D91" s="2304"/>
      <c r="E91" s="882"/>
      <c r="F91" s="1694" t="s">
        <v>338</v>
      </c>
      <c r="G91" s="1695">
        <v>5</v>
      </c>
      <c r="H91" s="1696">
        <v>0.35</v>
      </c>
      <c r="I91" s="1516"/>
      <c r="J91" s="1697">
        <f>$L$32*H91*$B$90*$C$90</f>
        <v>114.92307083862748</v>
      </c>
      <c r="K91" s="1698">
        <f>$M$32*H91*$B$90*$C$90</f>
        <v>9.5769225698856228</v>
      </c>
      <c r="L91" s="1697">
        <f>J91*$D$90</f>
        <v>137.90768500635298</v>
      </c>
      <c r="M91" s="1698">
        <f>K91*$D$90</f>
        <v>11.492307083862746</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1"/>
      <c r="C92" s="2302"/>
      <c r="D92" s="230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1"/>
      <c r="C93" s="2302"/>
      <c r="D93" s="2304"/>
      <c r="E93" s="882"/>
      <c r="F93" s="1694">
        <f>G91</f>
        <v>5</v>
      </c>
      <c r="G93" s="1695">
        <v>30</v>
      </c>
      <c r="H93" s="1696">
        <v>0.05</v>
      </c>
      <c r="I93" s="1516"/>
      <c r="J93" s="1697">
        <f>$L$32*(H91+(G93-F93)*H93)*$B$90*$C$90</f>
        <v>525.36260954801139</v>
      </c>
      <c r="K93" s="1698">
        <f>$M$32*(H91+(G93-F93)*H93)*$B$90*$C$90</f>
        <v>43.780217462334285</v>
      </c>
      <c r="L93" s="1697">
        <f t="shared" ref="L93:M96" si="5">J93*$D$90</f>
        <v>630.43513145761369</v>
      </c>
      <c r="M93" s="1698">
        <f t="shared" si="5"/>
        <v>52.536260954801143</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1"/>
      <c r="C94" s="2302"/>
      <c r="D94" s="2304"/>
      <c r="E94" s="882"/>
      <c r="F94" s="1694">
        <f>G93</f>
        <v>30</v>
      </c>
      <c r="G94" s="1695">
        <v>100</v>
      </c>
      <c r="H94" s="1696">
        <v>0.03</v>
      </c>
      <c r="I94" s="1516"/>
      <c r="J94" s="1697">
        <f>$L$32*(H91+(G93-F93)*H93+(G94-F94)*H94)*$B$90*$C$90</f>
        <v>1214.9010345797763</v>
      </c>
      <c r="K94" s="1698">
        <f>$M$32*(H91+(G93-F93)*H93+(G94-F94)*H94)*$B$90*$C$90</f>
        <v>101.24175288164803</v>
      </c>
      <c r="L94" s="1697">
        <f t="shared" si="5"/>
        <v>1457.8812414957315</v>
      </c>
      <c r="M94" s="1698">
        <f t="shared" si="5"/>
        <v>121.49010345797763</v>
      </c>
      <c r="N94" s="458"/>
      <c r="O94" s="887">
        <v>4</v>
      </c>
      <c r="P94" s="467"/>
      <c r="Q94" s="286">
        <f>O94*$Q$76*M94+O94*(1-$Q$76)*K94</f>
        <v>445.46371267925133</v>
      </c>
      <c r="R94" s="458"/>
      <c r="S94" s="891">
        <f>IF(AND(Q94&lt;&gt;0,O94&lt;&gt;0),Q94/(1+$D$17+$D$18+$D$19)/O94/30/(($D$25*1000000/$D$8))*1000,0)</f>
        <v>9.871324938001889</v>
      </c>
      <c r="T94" s="467" t="s">
        <v>382</v>
      </c>
      <c r="U94" s="870">
        <f>S94*O94*30*$D$11*(1+$D$24)/1000</f>
        <v>348.79358671119599</v>
      </c>
      <c r="V94" s="458" t="s">
        <v>383</v>
      </c>
      <c r="W94" s="870">
        <f>IF(O94&lt;&gt;0,U94/O94,0)</f>
        <v>87.198396677798996</v>
      </c>
      <c r="X94" s="467" t="s">
        <v>383</v>
      </c>
      <c r="Y94" s="265" t="str">
        <f>IF(O94=0,"-",IF(AND(((F94*(1-$Y$89))&lt;W94),(W94&lt;(G94*(1+$Y$89)))),"OK", "NOK"))</f>
        <v>OK</v>
      </c>
      <c r="Z94" s="151"/>
      <c r="AA94" s="249">
        <f>IF(OR(Y94="OK",Y94="-"),1,0)</f>
        <v>1</v>
      </c>
      <c r="AB94" s="473"/>
    </row>
    <row r="95" spans="1:28" s="262" customFormat="1" ht="24" hidden="1" customHeight="1" outlineLevel="1" x14ac:dyDescent="0.3">
      <c r="A95" s="458"/>
      <c r="B95" s="2301"/>
      <c r="C95" s="2302"/>
      <c r="D95" s="2304"/>
      <c r="E95" s="882"/>
      <c r="F95" s="1694">
        <f>G94</f>
        <v>100</v>
      </c>
      <c r="G95" s="1695">
        <v>500</v>
      </c>
      <c r="H95" s="1696">
        <v>0.02</v>
      </c>
      <c r="I95" s="1516"/>
      <c r="J95" s="1697">
        <f>$L$32*(H91+(G93-F93)*H93+(G94-F94)*H94+(G95-F95)*H95)*$B$90*$C$90</f>
        <v>3841.7140823198329</v>
      </c>
      <c r="K95" s="1698">
        <f>$M$32*(H91+(G93-F93)*H93+(G94-F94)*H94+(G95-F95)*H95)*$B$90*$C$90</f>
        <v>320.14284019331939</v>
      </c>
      <c r="L95" s="1697">
        <f t="shared" si="5"/>
        <v>4610.0568987837996</v>
      </c>
      <c r="M95" s="1698">
        <f t="shared" si="5"/>
        <v>384.17140823198326</v>
      </c>
      <c r="N95" s="458"/>
      <c r="O95" s="887">
        <v>1</v>
      </c>
      <c r="P95" s="467"/>
      <c r="Q95" s="286">
        <f>O95*$Q$76*M95+O95*(1-$Q$76)*K95</f>
        <v>352.1571242126513</v>
      </c>
      <c r="R95" s="458"/>
      <c r="S95" s="891">
        <f>IF(AND(Q95&lt;&gt;0,O95&lt;&gt;0),Q95/(1+$D$17+$D$18+$D$19)/O95/30/(($D$25*1000000/$D$8))*1000,0)</f>
        <v>31.214730209357317</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hidden="1" customHeight="1" outlineLevel="1" x14ac:dyDescent="0.3">
      <c r="A96" s="458"/>
      <c r="B96" s="2301"/>
      <c r="C96" s="2302"/>
      <c r="D96" s="2304"/>
      <c r="E96" s="882"/>
      <c r="F96" s="1694">
        <f>G95</f>
        <v>500</v>
      </c>
      <c r="G96" s="1695">
        <v>1000</v>
      </c>
      <c r="H96" s="1696">
        <v>0.01</v>
      </c>
      <c r="I96" s="1516"/>
      <c r="J96" s="1697">
        <f>$L$32*(H91+(G93-F93)*H93+(G94-F94)*H94+(G95-F95)*H95+(G96-F96)*H96)*$B$90*$C$90</f>
        <v>5483.472237157368</v>
      </c>
      <c r="K96" s="1698">
        <f>$M$32*(H91+(G93-F93)*H93+(G94-F94)*H94+(G95-F95)*H95+(G96-F96)*H96)*$B$90*$C$90</f>
        <v>456.95601976311406</v>
      </c>
      <c r="L96" s="1697">
        <f t="shared" si="5"/>
        <v>6580.1666845888412</v>
      </c>
      <c r="M96" s="1698">
        <f t="shared" si="5"/>
        <v>548.34722371573685</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-151.25888668387861</v>
      </c>
      <c r="H8" s="1965">
        <f>SUMIF(C33:BC33,1,C178:BC178)</f>
        <v>-177.26971926605103</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-9.6114538363809454E-2</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2.0037250489984464</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-0.19351453836380944</v>
      </c>
      <c r="H10" s="1968">
        <f>H9-C28</f>
        <v>1.9063250489984465</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222.31964055273269</v>
      </c>
      <c r="H11" s="1970">
        <f>SUMIF(C33:BC33,1,C63:BC63)</f>
        <v>222.31964055273269</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-0.68036672921842478</v>
      </c>
      <c r="H12" s="1968">
        <f>H8/H11</f>
        <v>-0.79736418620200078</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53</v>
      </c>
      <c r="H13" s="1973">
        <f>IF(H8&lt;0,SUM(C183:BC183),SUM(C183:BC183))</f>
        <v>53</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0.31963327078157522</v>
      </c>
      <c r="H14" s="1976">
        <f>(SUMIF(C33:BC33,1,C178:BC178)+SUMIF(C33:BC33,1,C63:BC63))/SUMIF(C33:BC33,1,C63:BC63)</f>
        <v>0.20263581379799925</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1102</v>
      </c>
      <c r="G26" s="2361"/>
      <c r="H26" s="1470">
        <f>'R&amp;C-Painel de Controle'!D33</f>
        <v>292.94394556662456</v>
      </c>
      <c r="I26" s="1608" t="s">
        <v>295</v>
      </c>
      <c r="J26" s="1606"/>
      <c r="K26" s="2360" t="s">
        <v>653</v>
      </c>
      <c r="L26" s="2361"/>
      <c r="M26" s="1471">
        <f>G8</f>
        <v>-151.25888668387861</v>
      </c>
      <c r="N26" s="1608" t="s">
        <v>304</v>
      </c>
      <c r="O26" s="2350" t="s">
        <v>654</v>
      </c>
      <c r="P26" s="2350"/>
      <c r="Q26" s="2351"/>
      <c r="R26" s="1472">
        <f>G14</f>
        <v>0.31963327078157522</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f>G9</f>
        <v>-9.6114538363809454E-2</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5.3379387890331662</v>
      </c>
      <c r="I28" s="1989" t="s">
        <v>299</v>
      </c>
      <c r="J28" s="1607"/>
      <c r="K28" s="2364" t="s">
        <v>658</v>
      </c>
      <c r="L28" s="2357"/>
      <c r="M28" s="1990">
        <f>G13</f>
        <v>53</v>
      </c>
      <c r="N28" s="1609" t="s">
        <v>388</v>
      </c>
      <c r="O28" s="1607"/>
      <c r="P28" s="1607"/>
      <c r="Q28" s="1607"/>
      <c r="R28" s="1607"/>
      <c r="S28" s="1613"/>
      <c r="T28" s="293"/>
    </row>
    <row r="29" spans="1:58" s="206" customFormat="1" ht="18" customHeight="1" outlineLevel="1" thickTop="1" thickBot="1" x14ac:dyDescent="0.35">
      <c r="B29" s="324"/>
      <c r="F29" s="2358" t="s">
        <v>1103</v>
      </c>
      <c r="G29" s="2359"/>
      <c r="H29" s="1991">
        <f>'R&amp;C-Painel de Controle'!H33</f>
        <v>318.85362727861343</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267.80917993112189</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78000</v>
      </c>
      <c r="D35" s="304">
        <f>C35*(1+$C$8)</f>
        <v>78366.599999999991</v>
      </c>
      <c r="E35" s="304">
        <f t="shared" ref="E35:AI35" si="4">D35*(1+$C$8)</f>
        <v>78734.923019999987</v>
      </c>
      <c r="F35" s="304">
        <f t="shared" si="4"/>
        <v>79104.977158193986</v>
      </c>
      <c r="G35" s="304">
        <f t="shared" si="4"/>
        <v>79476.770550837493</v>
      </c>
      <c r="H35" s="304">
        <f t="shared" si="4"/>
        <v>79850.311372426426</v>
      </c>
      <c r="I35" s="304">
        <f t="shared" si="4"/>
        <v>80225.607835876828</v>
      </c>
      <c r="J35" s="304">
        <f t="shared" si="4"/>
        <v>80602.668192705445</v>
      </c>
      <c r="K35" s="304">
        <f t="shared" si="4"/>
        <v>80981.500733211156</v>
      </c>
      <c r="L35" s="304">
        <f t="shared" si="4"/>
        <v>81362.113786657239</v>
      </c>
      <c r="M35" s="304">
        <f t="shared" si="4"/>
        <v>81744.515721454518</v>
      </c>
      <c r="N35" s="304">
        <f t="shared" si="4"/>
        <v>82128.714945345346</v>
      </c>
      <c r="O35" s="304">
        <f t="shared" si="4"/>
        <v>82514.719905588456</v>
      </c>
      <c r="P35" s="304">
        <f t="shared" si="4"/>
        <v>82902.539089144717</v>
      </c>
      <c r="Q35" s="304">
        <f t="shared" si="4"/>
        <v>83292.18102286369</v>
      </c>
      <c r="R35" s="304">
        <f t="shared" si="4"/>
        <v>83683.654273671142</v>
      </c>
      <c r="S35" s="304">
        <f t="shared" si="4"/>
        <v>84076.967448757394</v>
      </c>
      <c r="T35" s="304">
        <f t="shared" si="4"/>
        <v>84472.129195766553</v>
      </c>
      <c r="U35" s="304">
        <f t="shared" si="4"/>
        <v>84869.148202986646</v>
      </c>
      <c r="V35" s="304">
        <f t="shared" si="4"/>
        <v>85268.033199540674</v>
      </c>
      <c r="W35" s="304">
        <f t="shared" si="4"/>
        <v>85668.792955578509</v>
      </c>
      <c r="X35" s="304">
        <f t="shared" si="4"/>
        <v>86071.436282469716</v>
      </c>
      <c r="Y35" s="304">
        <f t="shared" si="4"/>
        <v>86475.972032997321</v>
      </c>
      <c r="Z35" s="304">
        <f t="shared" si="4"/>
        <v>86882.409101552403</v>
      </c>
      <c r="AA35" s="304">
        <f t="shared" si="4"/>
        <v>87290.756424329695</v>
      </c>
      <c r="AB35" s="304">
        <f t="shared" si="4"/>
        <v>87701.022979524045</v>
      </c>
      <c r="AC35" s="304">
        <f t="shared" si="4"/>
        <v>88113.217787527799</v>
      </c>
      <c r="AD35" s="304">
        <f t="shared" si="4"/>
        <v>88527.349911129175</v>
      </c>
      <c r="AE35" s="304">
        <f t="shared" si="4"/>
        <v>88943.428455711473</v>
      </c>
      <c r="AF35" s="304">
        <f t="shared" si="4"/>
        <v>89361.462569453317</v>
      </c>
      <c r="AG35" s="304">
        <f t="shared" si="4"/>
        <v>89781.461443529741</v>
      </c>
      <c r="AH35" s="304">
        <f t="shared" si="4"/>
        <v>90203.434312314319</v>
      </c>
      <c r="AI35" s="304">
        <f t="shared" si="4"/>
        <v>90627.390453582193</v>
      </c>
      <c r="AJ35" s="304">
        <f t="shared" ref="AJ35:BC35" si="5">AI35*(1+$C$8)</f>
        <v>91053.339188714017</v>
      </c>
      <c r="AK35" s="304">
        <f t="shared" si="5"/>
        <v>91481.289882900965</v>
      </c>
      <c r="AL35" s="304">
        <f t="shared" si="5"/>
        <v>91911.251945350596</v>
      </c>
      <c r="AM35" s="304">
        <f t="shared" si="5"/>
        <v>92343.23482949374</v>
      </c>
      <c r="AN35" s="304">
        <f t="shared" si="5"/>
        <v>92777.248033192358</v>
      </c>
      <c r="AO35" s="304">
        <f t="shared" si="5"/>
        <v>93213.301098948359</v>
      </c>
      <c r="AP35" s="304">
        <f t="shared" si="5"/>
        <v>93651.403614113413</v>
      </c>
      <c r="AQ35" s="304">
        <f t="shared" si="5"/>
        <v>94091.565211099733</v>
      </c>
      <c r="AR35" s="304">
        <f t="shared" si="5"/>
        <v>94533.795567591893</v>
      </c>
      <c r="AS35" s="304">
        <f t="shared" si="5"/>
        <v>94978.104406759565</v>
      </c>
      <c r="AT35" s="304">
        <f t="shared" si="5"/>
        <v>95424.501497471327</v>
      </c>
      <c r="AU35" s="304">
        <f t="shared" si="5"/>
        <v>95872.996654509436</v>
      </c>
      <c r="AV35" s="304">
        <f t="shared" si="5"/>
        <v>96323.599738785619</v>
      </c>
      <c r="AW35" s="304">
        <f t="shared" si="5"/>
        <v>96776.32065755791</v>
      </c>
      <c r="AX35" s="304">
        <f t="shared" si="5"/>
        <v>97231.16936464842</v>
      </c>
      <c r="AY35" s="304">
        <f t="shared" si="5"/>
        <v>97688.155860662257</v>
      </c>
      <c r="AZ35" s="304">
        <f t="shared" si="5"/>
        <v>98147.290193207358</v>
      </c>
      <c r="BA35" s="304">
        <f t="shared" si="5"/>
        <v>98608.582457115423</v>
      </c>
      <c r="BB35" s="304">
        <f t="shared" si="5"/>
        <v>99072.042794663852</v>
      </c>
      <c r="BC35" s="304">
        <f t="shared" si="5"/>
        <v>99537.681395798762</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78250</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78617.774999999994</v>
      </c>
      <c r="G42" s="333">
        <f t="shared" si="10"/>
        <v>78617.774999999994</v>
      </c>
      <c r="H42" s="333">
        <f t="shared" si="10"/>
        <v>78617.774999999994</v>
      </c>
      <c r="I42" s="333">
        <f t="shared" si="10"/>
        <v>78617.774999999994</v>
      </c>
      <c r="J42" s="333">
        <f t="shared" si="10"/>
        <v>78617.774999999994</v>
      </c>
      <c r="K42" s="333">
        <f t="shared" si="10"/>
        <v>78617.774999999994</v>
      </c>
      <c r="L42" s="333">
        <f t="shared" si="10"/>
        <v>78617.774999999994</v>
      </c>
      <c r="M42" s="333">
        <f t="shared" si="10"/>
        <v>78617.774999999994</v>
      </c>
      <c r="N42" s="333">
        <f t="shared" si="10"/>
        <v>78617.774999999994</v>
      </c>
      <c r="O42" s="333">
        <f t="shared" si="10"/>
        <v>78617.774999999994</v>
      </c>
      <c r="P42" s="333">
        <f t="shared" si="10"/>
        <v>78617.774999999994</v>
      </c>
      <c r="Q42" s="333">
        <f t="shared" si="10"/>
        <v>78617.774999999994</v>
      </c>
      <c r="R42" s="333">
        <f t="shared" ref="R42:BC42" si="11">Q42*(1+$C$8)</f>
        <v>78987.278542499989</v>
      </c>
      <c r="S42" s="333">
        <f t="shared" si="11"/>
        <v>79358.518751649739</v>
      </c>
      <c r="T42" s="333">
        <f t="shared" si="11"/>
        <v>79731.50378978248</v>
      </c>
      <c r="U42" s="333">
        <f t="shared" si="11"/>
        <v>80106.241857594447</v>
      </c>
      <c r="V42" s="333">
        <f t="shared" si="11"/>
        <v>80482.741194325135</v>
      </c>
      <c r="W42" s="333">
        <f t="shared" si="11"/>
        <v>80861.010077938452</v>
      </c>
      <c r="X42" s="333">
        <f t="shared" si="11"/>
        <v>81241.056825304753</v>
      </c>
      <c r="Y42" s="333">
        <f t="shared" si="11"/>
        <v>81622.889792383678</v>
      </c>
      <c r="Z42" s="333">
        <f t="shared" si="11"/>
        <v>82006.517374407878</v>
      </c>
      <c r="AA42" s="333">
        <f t="shared" si="11"/>
        <v>82391.948006067585</v>
      </c>
      <c r="AB42" s="333">
        <f t="shared" si="11"/>
        <v>82779.190161696097</v>
      </c>
      <c r="AC42" s="333">
        <f t="shared" si="11"/>
        <v>83168.252355456061</v>
      </c>
      <c r="AD42" s="333">
        <f t="shared" si="11"/>
        <v>83559.1431415267</v>
      </c>
      <c r="AE42" s="333">
        <f t="shared" si="11"/>
        <v>83951.871114291862</v>
      </c>
      <c r="AF42" s="333">
        <f t="shared" si="11"/>
        <v>84346.444908529025</v>
      </c>
      <c r="AG42" s="333">
        <f t="shared" si="11"/>
        <v>84742.873199599111</v>
      </c>
      <c r="AH42" s="333">
        <f t="shared" si="11"/>
        <v>85141.164703637216</v>
      </c>
      <c r="AI42" s="333">
        <f t="shared" si="11"/>
        <v>85541.328177744304</v>
      </c>
      <c r="AJ42" s="333">
        <f t="shared" si="11"/>
        <v>85943.372420179701</v>
      </c>
      <c r="AK42" s="333">
        <f t="shared" si="11"/>
        <v>86347.306270554545</v>
      </c>
      <c r="AL42" s="333">
        <f t="shared" si="11"/>
        <v>86753.138610026144</v>
      </c>
      <c r="AM42" s="333">
        <f t="shared" si="11"/>
        <v>87160.878361493262</v>
      </c>
      <c r="AN42" s="333">
        <f t="shared" si="11"/>
        <v>87570.534489792277</v>
      </c>
      <c r="AO42" s="333">
        <f t="shared" si="11"/>
        <v>87982.11600189429</v>
      </c>
      <c r="AP42" s="333">
        <f t="shared" si="11"/>
        <v>88395.631947103189</v>
      </c>
      <c r="AQ42" s="333">
        <f t="shared" si="11"/>
        <v>88811.091417254574</v>
      </c>
      <c r="AR42" s="333">
        <f t="shared" si="11"/>
        <v>89228.503546915657</v>
      </c>
      <c r="AS42" s="333">
        <f t="shared" si="11"/>
        <v>89647.877513586151</v>
      </c>
      <c r="AT42" s="333">
        <f t="shared" si="11"/>
        <v>90069.222537900001</v>
      </c>
      <c r="AU42" s="333">
        <f t="shared" si="11"/>
        <v>90492.547883828127</v>
      </c>
      <c r="AV42" s="333">
        <f t="shared" si="11"/>
        <v>90917.862858882116</v>
      </c>
      <c r="AW42" s="333">
        <f t="shared" si="11"/>
        <v>91345.176814318853</v>
      </c>
      <c r="AX42" s="333">
        <f t="shared" si="11"/>
        <v>91774.499145346141</v>
      </c>
      <c r="AY42" s="333">
        <f t="shared" si="11"/>
        <v>92205.839291329263</v>
      </c>
      <c r="AZ42" s="333">
        <f t="shared" si="11"/>
        <v>92639.206735998509</v>
      </c>
      <c r="BA42" s="333">
        <f t="shared" si="11"/>
        <v>93074.611007657688</v>
      </c>
      <c r="BB42" s="333">
        <f t="shared" si="11"/>
        <v>93512.061679393679</v>
      </c>
      <c r="BC42" s="333">
        <f t="shared" si="11"/>
        <v>93951.568369286819</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Sim</v>
      </c>
      <c r="D46" s="325">
        <f>'R&amp;C-Painel de Controle'!H61</f>
        <v>79707.40625</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80082.031059374989</v>
      </c>
      <c r="G48" s="333">
        <f t="shared" si="16"/>
        <v>80082.031059374989</v>
      </c>
      <c r="H48" s="333">
        <f t="shared" si="16"/>
        <v>80082.031059374989</v>
      </c>
      <c r="I48" s="333">
        <f t="shared" si="16"/>
        <v>80082.031059374989</v>
      </c>
      <c r="J48" s="333">
        <f t="shared" si="16"/>
        <v>80082.031059374989</v>
      </c>
      <c r="K48" s="333">
        <f t="shared" si="16"/>
        <v>80082.031059374989</v>
      </c>
      <c r="L48" s="333">
        <f t="shared" si="16"/>
        <v>80082.031059374989</v>
      </c>
      <c r="M48" s="333">
        <f t="shared" si="16"/>
        <v>80082.031059374989</v>
      </c>
      <c r="N48" s="333">
        <f t="shared" si="16"/>
        <v>80082.031059374989</v>
      </c>
      <c r="O48" s="333">
        <f t="shared" si="16"/>
        <v>80082.031059374989</v>
      </c>
      <c r="P48" s="333">
        <f t="shared" si="16"/>
        <v>80082.031059374989</v>
      </c>
      <c r="Q48" s="333">
        <f t="shared" si="16"/>
        <v>80082.031059374989</v>
      </c>
      <c r="R48" s="333">
        <f t="shared" ref="R48:BC48" si="17">Q48*(1+$C$8)</f>
        <v>80458.416605354039</v>
      </c>
      <c r="S48" s="333">
        <f t="shared" si="17"/>
        <v>80836.571163399203</v>
      </c>
      <c r="T48" s="333">
        <f t="shared" si="17"/>
        <v>81216.503047867169</v>
      </c>
      <c r="U48" s="333">
        <f t="shared" si="17"/>
        <v>81598.220612192134</v>
      </c>
      <c r="V48" s="333">
        <f t="shared" si="17"/>
        <v>81981.732249069435</v>
      </c>
      <c r="W48" s="333">
        <f t="shared" si="17"/>
        <v>82367.046390640055</v>
      </c>
      <c r="X48" s="333">
        <f t="shared" si="17"/>
        <v>82754.171508676052</v>
      </c>
      <c r="Y48" s="333">
        <f t="shared" si="17"/>
        <v>83143.116114766817</v>
      </c>
      <c r="Z48" s="333">
        <f t="shared" si="17"/>
        <v>83533.888760506219</v>
      </c>
      <c r="AA48" s="333">
        <f t="shared" si="17"/>
        <v>83926.498037680591</v>
      </c>
      <c r="AB48" s="333">
        <f t="shared" si="17"/>
        <v>84320.952578457684</v>
      </c>
      <c r="AC48" s="333">
        <f t="shared" si="17"/>
        <v>84717.261055576426</v>
      </c>
      <c r="AD48" s="333">
        <f t="shared" si="17"/>
        <v>85115.432182537625</v>
      </c>
      <c r="AE48" s="333">
        <f t="shared" si="17"/>
        <v>85515.474713795542</v>
      </c>
      <c r="AF48" s="333">
        <f t="shared" si="17"/>
        <v>85917.397444950373</v>
      </c>
      <c r="AG48" s="333">
        <f t="shared" si="17"/>
        <v>86321.209212941627</v>
      </c>
      <c r="AH48" s="333">
        <f t="shared" si="17"/>
        <v>86726.918896242452</v>
      </c>
      <c r="AI48" s="333">
        <f t="shared" si="17"/>
        <v>87134.535415054779</v>
      </c>
      <c r="AJ48" s="333">
        <f t="shared" si="17"/>
        <v>87544.067731505536</v>
      </c>
      <c r="AK48" s="333">
        <f t="shared" si="17"/>
        <v>87955.524849843612</v>
      </c>
      <c r="AL48" s="333">
        <f t="shared" si="17"/>
        <v>88368.915816637877</v>
      </c>
      <c r="AM48" s="333">
        <f t="shared" si="17"/>
        <v>88784.249720976062</v>
      </c>
      <c r="AN48" s="333">
        <f t="shared" si="17"/>
        <v>89201.53569466465</v>
      </c>
      <c r="AO48" s="333">
        <f t="shared" si="17"/>
        <v>89620.782912429568</v>
      </c>
      <c r="AP48" s="333">
        <f t="shared" si="17"/>
        <v>90042.000592117984</v>
      </c>
      <c r="AQ48" s="333">
        <f t="shared" si="17"/>
        <v>90465.197994900926</v>
      </c>
      <c r="AR48" s="333">
        <f t="shared" si="17"/>
        <v>90890.38442547695</v>
      </c>
      <c r="AS48" s="333">
        <f t="shared" si="17"/>
        <v>91317.569232276684</v>
      </c>
      <c r="AT48" s="333">
        <f t="shared" si="17"/>
        <v>91746.761807668372</v>
      </c>
      <c r="AU48" s="333">
        <f t="shared" si="17"/>
        <v>92177.971588164408</v>
      </c>
      <c r="AV48" s="333">
        <f t="shared" si="17"/>
        <v>92611.208054628776</v>
      </c>
      <c r="AW48" s="333">
        <f t="shared" si="17"/>
        <v>93046.480732485521</v>
      </c>
      <c r="AX48" s="333">
        <f t="shared" si="17"/>
        <v>93483.799191928192</v>
      </c>
      <c r="AY48" s="333">
        <f t="shared" si="17"/>
        <v>93923.173048130251</v>
      </c>
      <c r="AZ48" s="333">
        <f t="shared" si="17"/>
        <v>94364.611961456452</v>
      </c>
      <c r="BA48" s="333">
        <f t="shared" si="17"/>
        <v>94808.125637675286</v>
      </c>
      <c r="BB48" s="333">
        <f t="shared" si="17"/>
        <v>95253.723828172355</v>
      </c>
      <c r="BC48" s="333">
        <f t="shared" si="17"/>
        <v>95701.416330164764</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46153.415000000001</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46370.336050499995</v>
      </c>
      <c r="G60" s="333">
        <f t="shared" si="28"/>
        <v>46370.336050499995</v>
      </c>
      <c r="H60" s="333">
        <f t="shared" si="28"/>
        <v>46370.336050499995</v>
      </c>
      <c r="I60" s="333">
        <f t="shared" si="28"/>
        <v>46370.336050499995</v>
      </c>
      <c r="J60" s="333">
        <f t="shared" si="28"/>
        <v>46370.336050499995</v>
      </c>
      <c r="K60" s="333">
        <f t="shared" si="28"/>
        <v>46370.336050499995</v>
      </c>
      <c r="L60" s="333">
        <f t="shared" si="28"/>
        <v>46370.336050499995</v>
      </c>
      <c r="M60" s="333">
        <f t="shared" si="28"/>
        <v>46370.336050499995</v>
      </c>
      <c r="N60" s="333">
        <f t="shared" si="28"/>
        <v>46370.336050499995</v>
      </c>
      <c r="O60" s="333">
        <f t="shared" si="28"/>
        <v>46370.336050499995</v>
      </c>
      <c r="P60" s="333">
        <f t="shared" si="28"/>
        <v>46370.336050499995</v>
      </c>
      <c r="Q60" s="333">
        <f t="shared" si="28"/>
        <v>46370.336050499995</v>
      </c>
      <c r="R60" s="333">
        <f t="shared" ref="R60:BC60" si="29">Q60*(1+$C$8)</f>
        <v>46588.27662993734</v>
      </c>
      <c r="S60" s="333">
        <f t="shared" si="29"/>
        <v>46807.241530098043</v>
      </c>
      <c r="T60" s="333">
        <f t="shared" si="29"/>
        <v>47027.235565289498</v>
      </c>
      <c r="U60" s="333">
        <f t="shared" si="29"/>
        <v>47248.263572446354</v>
      </c>
      <c r="V60" s="333">
        <f t="shared" si="29"/>
        <v>47470.33041123685</v>
      </c>
      <c r="W60" s="333">
        <f t="shared" si="29"/>
        <v>47693.440964169662</v>
      </c>
      <c r="X60" s="333">
        <f t="shared" si="29"/>
        <v>47917.600136701258</v>
      </c>
      <c r="Y60" s="333">
        <f t="shared" si="29"/>
        <v>48142.81285734375</v>
      </c>
      <c r="Z60" s="333">
        <f t="shared" si="29"/>
        <v>48369.084077773259</v>
      </c>
      <c r="AA60" s="333">
        <f t="shared" si="29"/>
        <v>48596.418772938792</v>
      </c>
      <c r="AB60" s="333">
        <f t="shared" si="29"/>
        <v>48824.821941171598</v>
      </c>
      <c r="AC60" s="333">
        <f t="shared" si="29"/>
        <v>49054.298604295102</v>
      </c>
      <c r="AD60" s="333">
        <f t="shared" si="29"/>
        <v>49284.853807735286</v>
      </c>
      <c r="AE60" s="333">
        <f t="shared" si="29"/>
        <v>49516.492620631638</v>
      </c>
      <c r="AF60" s="333">
        <f t="shared" si="29"/>
        <v>49749.220135948606</v>
      </c>
      <c r="AG60" s="333">
        <f t="shared" si="29"/>
        <v>49983.041470587559</v>
      </c>
      <c r="AH60" s="333">
        <f t="shared" si="29"/>
        <v>50217.96176549932</v>
      </c>
      <c r="AI60" s="333">
        <f t="shared" si="29"/>
        <v>50453.986185797163</v>
      </c>
      <c r="AJ60" s="333">
        <f t="shared" si="29"/>
        <v>50691.119920870406</v>
      </c>
      <c r="AK60" s="333">
        <f t="shared" si="29"/>
        <v>50929.368184498489</v>
      </c>
      <c r="AL60" s="333">
        <f t="shared" si="29"/>
        <v>51168.736214965626</v>
      </c>
      <c r="AM60" s="333">
        <f t="shared" si="29"/>
        <v>51409.22927517596</v>
      </c>
      <c r="AN60" s="333">
        <f t="shared" si="29"/>
        <v>51650.852652769281</v>
      </c>
      <c r="AO60" s="333">
        <f t="shared" si="29"/>
        <v>51893.611660237293</v>
      </c>
      <c r="AP60" s="333">
        <f t="shared" si="29"/>
        <v>52137.511635040406</v>
      </c>
      <c r="AQ60" s="333">
        <f t="shared" si="29"/>
        <v>52382.557939725091</v>
      </c>
      <c r="AR60" s="333">
        <f t="shared" si="29"/>
        <v>52628.755962041796</v>
      </c>
      <c r="AS60" s="333">
        <f t="shared" si="29"/>
        <v>52876.111115063388</v>
      </c>
      <c r="AT60" s="333">
        <f t="shared" si="29"/>
        <v>53124.628837304183</v>
      </c>
      <c r="AU60" s="333">
        <f t="shared" si="29"/>
        <v>53374.31459283951</v>
      </c>
      <c r="AV60" s="333">
        <f t="shared" si="29"/>
        <v>53625.173871425854</v>
      </c>
      <c r="AW60" s="333">
        <f t="shared" si="29"/>
        <v>53877.212188621554</v>
      </c>
      <c r="AX60" s="333">
        <f t="shared" si="29"/>
        <v>54130.435085908073</v>
      </c>
      <c r="AY60" s="333">
        <f t="shared" si="29"/>
        <v>54384.848130811835</v>
      </c>
      <c r="AZ60" s="333">
        <f t="shared" si="29"/>
        <v>54640.456917026648</v>
      </c>
      <c r="BA60" s="333">
        <f t="shared" si="29"/>
        <v>54897.267064536667</v>
      </c>
      <c r="BB60" s="333">
        <f t="shared" si="29"/>
        <v>55155.284219739988</v>
      </c>
      <c r="BC60" s="333">
        <f t="shared" si="29"/>
        <v>55414.514055572763</v>
      </c>
      <c r="BD60" s="305"/>
      <c r="BE60" s="305"/>
      <c r="BF60" s="305"/>
    </row>
    <row r="61" spans="1:58" s="206" customFormat="1" ht="18" hidden="1" customHeight="1" outlineLevel="1" x14ac:dyDescent="0.3">
      <c r="B61" s="906" t="s">
        <v>671</v>
      </c>
      <c r="C61" s="328">
        <f>C35</f>
        <v>78000</v>
      </c>
      <c r="D61" s="330">
        <f>D35</f>
        <v>78366.599999999991</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56.962239813269335</v>
      </c>
      <c r="D63" s="306">
        <f>((D67+D70+D73+D76+D79+D82+D85+D88+'R&amp;C-Painel de Controle'!I21)+('R&amp;C-Painel de Controle'!$K$77*$H$27/5+'R&amp;C-Painel de Controle'!$K$75*$H$27/20+'R&amp;C-Painel de Controle'!$D$29+'R&amp;C-Painel de Controle'!$D$30)/3*(1+$C$62))</f>
        <v>85.704816492212032</v>
      </c>
      <c r="E63" s="306">
        <f>((E67+E70+E73+E76+E79+E82+E85+E88+'R&amp;C-Painel de Controle'!J21)+('R&amp;C-Painel de Controle'!$K$77*$H$27/5+'R&amp;C-Painel de Controle'!$K$75*$H$27/20+'R&amp;C-Painel de Controle'!$D$29+'R&amp;C-Painel de Controle'!$D$30)/3*(1+$C$62))</f>
        <v>79.652584247251326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56.183509461433225</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16.855052838429966</v>
      </c>
      <c r="D70" s="333">
        <f>D69*$D$68</f>
        <v>11.236701892286646</v>
      </c>
      <c r="E70" s="333">
        <f>E69*$D$68</f>
        <v>28.091754730716612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Sim</v>
      </c>
      <c r="D74" s="336">
        <f>'R&amp;C-Painel de Controle'!K61</f>
        <v>100.1222359983784</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20.024447199675681</v>
      </c>
      <c r="D76" s="334">
        <f t="shared" si="36"/>
        <v>50.0611179991892</v>
      </c>
      <c r="E76" s="333">
        <f t="shared" si="36"/>
        <v>30.036670799513519</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14.414189418574999</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2.8828378837150002</v>
      </c>
      <c r="D88" s="334">
        <f t="shared" si="40"/>
        <v>7.2070947092874995</v>
      </c>
      <c r="E88" s="332">
        <f t="shared" si="40"/>
        <v>4.3242568255724994</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20.977926119930824</v>
      </c>
      <c r="G90" s="306">
        <f>IF('R&amp;C-Painel de Controle'!$D$24="Não",G94+G97+G100+G103+G106+G109+G112+G115,G94+G97+G100+G103+G106+G109+G112+G115+'R&amp;C-Painel de Controle'!$L$91)</f>
        <v>20.977926119930824</v>
      </c>
      <c r="H90" s="306">
        <f>IF('R&amp;C-Painel de Controle'!$D$24="Não",H94+H97+H100+H103+H106+H109+H112+H115,H94+H97+H100+H103+H106+H109+H112+H115+'R&amp;C-Painel de Controle'!$L$91)</f>
        <v>20.977926119930824</v>
      </c>
      <c r="I90" s="306">
        <f>IF('R&amp;C-Painel de Controle'!$D$24="Não",I94+I97+I100+I103+I106+I109+I112+I115,I94+I97+I100+I103+I106+I109+I112+I115+'R&amp;C-Painel de Controle'!$L$91)</f>
        <v>20.977926119930824</v>
      </c>
      <c r="J90" s="306">
        <f>IF('R&amp;C-Painel de Controle'!$D$24="Não",J94+J97+J100+J103+J106+J109+J112+J115,J94+J97+J100+J103+J106+J109+J112+J115+'R&amp;C-Painel de Controle'!$L$91)</f>
        <v>20.977926119930824</v>
      </c>
      <c r="K90" s="306">
        <f>IF('R&amp;C-Painel de Controle'!$D$24="Não",K94+K97+K100+K103+K106+K109+K112+K115,K94+K97+K100+K103+K106+K109+K112+K115+'R&amp;C-Painel de Controle'!$L$91)</f>
        <v>20.977926119930824</v>
      </c>
      <c r="L90" s="306">
        <f>IF('R&amp;C-Painel de Controle'!$D$24="Não",L94+L97+L100+L103+L106+L109+L112+L115,L94+L97+L100+L103+L106+L109+L112+L115+'R&amp;C-Painel de Controle'!$L$91)</f>
        <v>20.977926119930824</v>
      </c>
      <c r="M90" s="306">
        <f>IF('R&amp;C-Painel de Controle'!$D$24="Não",M94+M97+M100+M103+M106+M109+M112+M115,M94+M97+M100+M103+M106+M109+M112+M115+'R&amp;C-Painel de Controle'!$L$91)</f>
        <v>20.977926119930824</v>
      </c>
      <c r="N90" s="306">
        <f>IF('R&amp;C-Painel de Controle'!$D$24="Não",N94+N97+N100+N103+N106+N109+N112+N115,N94+N97+N100+N103+N106+N109+N112+N115+'R&amp;C-Painel de Controle'!$L$91)</f>
        <v>20.977926119930824</v>
      </c>
      <c r="O90" s="306">
        <f>IF('R&amp;C-Painel de Controle'!$D$24="Não",O94+O97+O100+O103+O106+O109+O112+O115,O94+O97+O100+O103+O106+O109+O112+O115+'R&amp;C-Painel de Controle'!$L$91)</f>
        <v>20.977926119930824</v>
      </c>
      <c r="P90" s="306">
        <f>IF('R&amp;C-Painel de Controle'!$D$24="Não",P94+P97+P100+P103+P106+P109+P112+P115,P94+P97+P100+P103+P106+P109+P112+P115+'R&amp;C-Painel de Controle'!$L$91)</f>
        <v>20.977926119930824</v>
      </c>
      <c r="Q90" s="306">
        <f>IF('R&amp;C-Painel de Controle'!$D$24="Não",Q94+Q97+Q100+Q103+Q106+Q109+Q112+Q115,Q94+Q97+Q100+Q103+Q106+Q109+Q112+Q115+'R&amp;C-Painel de Controle'!$L$91)</f>
        <v>20.977926119930824</v>
      </c>
      <c r="R90" s="306">
        <f>IF('R&amp;C-Painel de Controle'!$D$24="Não",R94+R97+R100+R103+R106+R109+R112+R115,R94+R97+R100+R103+R106+R109+R112+R115+'R&amp;C-Painel de Controle'!$L$91)</f>
        <v>20.977926119930824</v>
      </c>
      <c r="S90" s="306">
        <f>IF('R&amp;C-Painel de Controle'!$D$24="Não",S94+S97+S100+S103+S106+S109+S112+S115,S94+S97+S100+S103+S106+S109+S112+S115+'R&amp;C-Painel de Controle'!$L$91)</f>
        <v>20.977926119930824</v>
      </c>
      <c r="T90" s="306">
        <f>IF('R&amp;C-Painel de Controle'!$D$24="Não",T94+T97+T100+T103+T106+T109+T112+T115,T94+T97+T100+T103+T106+T109+T112+T115+'R&amp;C-Painel de Controle'!$L$91)</f>
        <v>20.977926119930824</v>
      </c>
      <c r="U90" s="306">
        <f>IF('R&amp;C-Painel de Controle'!$D$24="Não",U94+U97+U100+U103+U106+U109+U112+U115,U94+U97+U100+U103+U106+U109+U112+U115+'R&amp;C-Painel de Controle'!$L$91)</f>
        <v>20.977926119930824</v>
      </c>
      <c r="V90" s="306">
        <f>IF('R&amp;C-Painel de Controle'!$D$24="Não",V94+V97+V100+V103+V106+V109+V112+V115,V94+V97+V100+V103+V106+V109+V112+V115+'R&amp;C-Painel de Controle'!$L$91)</f>
        <v>20.977926119930824</v>
      </c>
      <c r="W90" s="306">
        <f>IF('R&amp;C-Painel de Controle'!$D$24="Não",W94+W97+W100+W103+W106+W109+W112+W115,W94+W97+W100+W103+W106+W109+W112+W115+'R&amp;C-Painel de Controle'!$L$91)</f>
        <v>20.977926119930824</v>
      </c>
      <c r="X90" s="306">
        <f>IF('R&amp;C-Painel de Controle'!$D$24="Não",X94+X97+X100+X103+X106+X109+X112+X115,X94+X97+X100+X103+X106+X109+X112+X115+'R&amp;C-Painel de Controle'!$L$91)</f>
        <v>20.977926119930824</v>
      </c>
      <c r="Y90" s="306">
        <f>IF('R&amp;C-Painel de Controle'!$D$24="Não",Y94+Y97+Y100+Y103+Y106+Y109+Y112+Y115,Y94+Y97+Y100+Y103+Y106+Y109+Y112+Y115+'R&amp;C-Painel de Controle'!$L$91)</f>
        <v>20.977926119930824</v>
      </c>
      <c r="Z90" s="306">
        <f>IF('R&amp;C-Painel de Controle'!$D$24="Não",Z94+Z97+Z100+Z103+Z106+Z109+Z112+Z115,Z94+Z97+Z100+Z103+Z106+Z109+Z112+Z115+'R&amp;C-Painel de Controle'!$L$91)</f>
        <v>20.977926119930824</v>
      </c>
      <c r="AA90" s="306">
        <f>IF('R&amp;C-Painel de Controle'!$D$24="Não",AA94+AA97+AA100+AA103+AA106+AA109+AA112+AA115,AA94+AA97+AA100+AA103+AA106+AA109+AA112+AA115+'R&amp;C-Painel de Controle'!$L$91)</f>
        <v>20.977926119930824</v>
      </c>
      <c r="AB90" s="306">
        <f>IF('R&amp;C-Painel de Controle'!$D$24="Não",AB94+AB97+AB100+AB103+AB106+AB109+AB112+AB115,AB94+AB97+AB100+AB103+AB106+AB109+AB112+AB115+'R&amp;C-Painel de Controle'!$L$91)</f>
        <v>20.977926119930824</v>
      </c>
      <c r="AC90" s="306">
        <f>IF('R&amp;C-Painel de Controle'!$D$24="Não",AC94+AC97+AC100+AC103+AC106+AC109+AC112+AC115,AC94+AC97+AC100+AC103+AC106+AC109+AC112+AC115+'R&amp;C-Painel de Controle'!$L$91)</f>
        <v>20.977926119930824</v>
      </c>
      <c r="AD90" s="306">
        <f>IF('R&amp;C-Painel de Controle'!$D$24="Não",AD94+AD97+AD100+AD103+AD106+AD109+AD112+AD115,AD94+AD97+AD100+AD103+AD106+AD109+AD112+AD115+'R&amp;C-Painel de Controle'!$L$91)</f>
        <v>20.977926119930824</v>
      </c>
      <c r="AE90" s="306">
        <f>IF('R&amp;C-Painel de Controle'!$D$24="Não",AE94+AE97+AE100+AE103+AE106+AE109+AE112+AE115,AE94+AE97+AE100+AE103+AE106+AE109+AE112+AE115+'R&amp;C-Painel de Controle'!$L$91)</f>
        <v>20.977926119930824</v>
      </c>
      <c r="AF90" s="306">
        <f>IF('R&amp;C-Painel de Controle'!$D$24="Não",AF94+AF97+AF100+AF103+AF106+AF109+AF112+AF115,AF94+AF97+AF100+AF103+AF106+AF109+AF112+AF115+'R&amp;C-Painel de Controle'!$L$91)</f>
        <v>20.977926119930824</v>
      </c>
      <c r="AG90" s="306">
        <f>IF('R&amp;C-Painel de Controle'!$D$24="Não",AG94+AG97+AG100+AG103+AG106+AG109+AG112+AG115,AG94+AG97+AG100+AG103+AG106+AG109+AG112+AG115+'R&amp;C-Painel de Controle'!$L$91)</f>
        <v>20.977926119930824</v>
      </c>
      <c r="AH90" s="306">
        <f>IF('R&amp;C-Painel de Controle'!$D$24="Não",AH94+AH97+AH100+AH103+AH106+AH109+AH112+AH115,AH94+AH97+AH100+AH103+AH106+AH109+AH112+AH115+'R&amp;C-Painel de Controle'!$L$91)</f>
        <v>20.977926119930824</v>
      </c>
      <c r="AI90" s="306">
        <f>IF('R&amp;C-Painel de Controle'!$D$24="Não",AI94+AI97+AI100+AI103+AI106+AI109+AI112+AI115,AI94+AI97+AI100+AI103+AI106+AI109+AI112+AI115+'R&amp;C-Painel de Controle'!$L$91)</f>
        <v>20.977926119930824</v>
      </c>
      <c r="AJ90" s="306">
        <f>IF('R&amp;C-Painel de Controle'!$D$24="Não",AJ94+AJ97+AJ100+AJ103+AJ106+AJ109+AJ112+AJ115,AJ94+AJ97+AJ100+AJ103+AJ106+AJ109+AJ112+AJ115+'R&amp;C-Painel de Controle'!$L$91)</f>
        <v>20.977926119930824</v>
      </c>
      <c r="AK90" s="306">
        <f>IF('R&amp;C-Painel de Controle'!$D$24="Não",AK94+AK97+AK100+AK103+AK106+AK109+AK112+AK115,AK94+AK97+AK100+AK103+AK106+AK109+AK112+AK115+'R&amp;C-Painel de Controle'!$L$91)</f>
        <v>20.977926119930824</v>
      </c>
      <c r="AL90" s="306">
        <f>IF('R&amp;C-Painel de Controle'!$D$24="Não",AL94+AL97+AL100+AL103+AL106+AL109+AL112+AL115,AL94+AL97+AL100+AL103+AL106+AL109+AL112+AL115+'R&amp;C-Painel de Controle'!$L$91)</f>
        <v>20.977926119930824</v>
      </c>
      <c r="AM90" s="306">
        <f>IF('R&amp;C-Painel de Controle'!$D$24="Não",AM94+AM97+AM100+AM103+AM106+AM109+AM112+AM115,AM94+AM97+AM100+AM103+AM106+AM109+AM112+AM115+'R&amp;C-Painel de Controle'!$L$91)</f>
        <v>20.977926119930824</v>
      </c>
      <c r="AN90" s="306">
        <f>IF('R&amp;C-Painel de Controle'!$D$24="Não",AN94+AN97+AN100+AN103+AN106+AN109+AN112+AN115,AN94+AN97+AN100+AN103+AN106+AN109+AN112+AN115+'R&amp;C-Painel de Controle'!$L$91)</f>
        <v>20.977926119930824</v>
      </c>
      <c r="AO90" s="306">
        <f>IF('R&amp;C-Painel de Controle'!$D$24="Não",AO94+AO97+AO100+AO103+AO106+AO109+AO112+AO115,AO94+AO97+AO100+AO103+AO106+AO109+AO112+AO115+'R&amp;C-Painel de Controle'!$L$91)</f>
        <v>20.977926119930824</v>
      </c>
      <c r="AP90" s="306">
        <f>IF('R&amp;C-Painel de Controle'!$D$24="Não",AP94+AP97+AP100+AP103+AP106+AP109+AP112+AP115,AP94+AP97+AP100+AP103+AP106+AP109+AP112+AP115+'R&amp;C-Painel de Controle'!$L$91)</f>
        <v>20.977926119930824</v>
      </c>
      <c r="AQ90" s="306">
        <f>IF('R&amp;C-Painel de Controle'!$D$24="Não",AQ94+AQ97+AQ100+AQ103+AQ106+AQ109+AQ112+AQ115,AQ94+AQ97+AQ100+AQ103+AQ106+AQ109+AQ112+AQ115+'R&amp;C-Painel de Controle'!$L$91)</f>
        <v>20.977926119930824</v>
      </c>
      <c r="AR90" s="306">
        <f>IF('R&amp;C-Painel de Controle'!$D$24="Não",AR94+AR97+AR100+AR103+AR106+AR109+AR112+AR115,AR94+AR97+AR100+AR103+AR106+AR109+AR112+AR115+'R&amp;C-Painel de Controle'!$L$91)</f>
        <v>20.977926119930824</v>
      </c>
      <c r="AS90" s="306">
        <f>IF('R&amp;C-Painel de Controle'!$D$24="Não",AS94+AS97+AS100+AS103+AS106+AS109+AS112+AS115,AS94+AS97+AS100+AS103+AS106+AS109+AS112+AS115+'R&amp;C-Painel de Controle'!$L$91)</f>
        <v>20.977926119930824</v>
      </c>
      <c r="AT90" s="306">
        <f>IF('R&amp;C-Painel de Controle'!$D$24="Não",AT94+AT97+AT100+AT103+AT106+AT109+AT112+AT115,AT94+AT97+AT100+AT103+AT106+AT109+AT112+AT115+'R&amp;C-Painel de Controle'!$L$91)</f>
        <v>20.977926119930824</v>
      </c>
      <c r="AU90" s="306">
        <f>IF('R&amp;C-Painel de Controle'!$D$24="Não",AU94+AU97+AU100+AU103+AU106+AU109+AU112+AU115,AU94+AU97+AU100+AU103+AU106+AU109+AU112+AU115+'R&amp;C-Painel de Controle'!$L$91)</f>
        <v>20.977926119930824</v>
      </c>
      <c r="AV90" s="306">
        <f>IF('R&amp;C-Painel de Controle'!$D$24="Não",AV94+AV97+AV100+AV103+AV106+AV109+AV112+AV115,AV94+AV97+AV100+AV103+AV106+AV109+AV112+AV115+'R&amp;C-Painel de Controle'!$L$91)</f>
        <v>20.977926119930824</v>
      </c>
      <c r="AW90" s="306">
        <f>IF('R&amp;C-Painel de Controle'!$D$24="Não",AW94+AW97+AW100+AW103+AW106+AW109+AW112+AW115,AW94+AW97+AW100+AW103+AW106+AW109+AW112+AW115+'R&amp;C-Painel de Controle'!$L$91)</f>
        <v>20.977926119930824</v>
      </c>
      <c r="AX90" s="306">
        <f>IF('R&amp;C-Painel de Controle'!$D$24="Não",AX94+AX97+AX100+AX103+AX106+AX109+AX112+AX115,AX94+AX97+AX100+AX103+AX106+AX109+AX112+AX115+'R&amp;C-Painel de Controle'!$L$91)</f>
        <v>20.977926119930824</v>
      </c>
      <c r="AY90" s="306">
        <f>IF('R&amp;C-Painel de Controle'!$D$24="Não",AY94+AY97+AY100+AY103+AY106+AY109+AY112+AY115,AY94+AY97+AY100+AY103+AY106+AY109+AY112+AY115+'R&amp;C-Painel de Controle'!$L$91)</f>
        <v>20.977926119930824</v>
      </c>
      <c r="AZ90" s="306">
        <f>IF('R&amp;C-Painel de Controle'!$D$24="Não",AZ94+AZ97+AZ100+AZ103+AZ106+AZ109+AZ112+AZ115,AZ94+AZ97+AZ100+AZ103+AZ106+AZ109+AZ112+AZ115+'R&amp;C-Painel de Controle'!$L$91)</f>
        <v>20.977926119930824</v>
      </c>
      <c r="BA90" s="306">
        <f>IF('R&amp;C-Painel de Controle'!$D$24="Não",BA94+BA97+BA100+BA103+BA106+BA109+BA112+BA115,BA94+BA97+BA100+BA103+BA106+BA109+BA112+BA115+'R&amp;C-Painel de Controle'!$L$91)</f>
        <v>20.977926119930824</v>
      </c>
      <c r="BB90" s="306">
        <f>IF('R&amp;C-Painel de Controle'!$D$24="Não",BB94+BB97+BB100+BB103+BB106+BB109+BB112+BB115,BB94+BB97+BB100+BB103+BB106+BB109+BB112+BB115+'R&amp;C-Painel de Controle'!$L$91)</f>
        <v>20.977926119930824</v>
      </c>
      <c r="BC90" s="306">
        <f>IF('R&amp;C-Painel de Controle'!$D$24="Não",BC94+BC97+BC100+BC103+BC106+BC109+BC112+BC115,BC94+BC97+BC100+BC103+BC106+BC109+BC112+BC115+'R&amp;C-Painel de Controle'!$L$91)</f>
        <v>20.977926119930824</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78250</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9.3102429969464833</v>
      </c>
      <c r="G97" s="327">
        <f>IF(G42&gt;0,'R&amp;C-Painel de Controle'!$O57+'R&amp;C-Painel de Controle'!$P57*G42/1000000,0)</f>
        <v>9.3102429969464833</v>
      </c>
      <c r="H97" s="327">
        <f>IF(H42&gt;0,'R&amp;C-Painel de Controle'!$O57+'R&amp;C-Painel de Controle'!$P57*H42/1000000,0)</f>
        <v>9.3102429969464833</v>
      </c>
      <c r="I97" s="327">
        <f>IF(I42&gt;0,'R&amp;C-Painel de Controle'!$O57+'R&amp;C-Painel de Controle'!$P57*I42/1000000,0)</f>
        <v>9.3102429969464833</v>
      </c>
      <c r="J97" s="327">
        <f>IF(J42&gt;0,'R&amp;C-Painel de Controle'!$O57+'R&amp;C-Painel de Controle'!$P57*J42/1000000,0)</f>
        <v>9.3102429969464833</v>
      </c>
      <c r="K97" s="327">
        <f>IF(K42&gt;0,'R&amp;C-Painel de Controle'!$O57+'R&amp;C-Painel de Controle'!$P57*K42/1000000,0)</f>
        <v>9.3102429969464833</v>
      </c>
      <c r="L97" s="327">
        <f>IF(L42&gt;0,'R&amp;C-Painel de Controle'!$O57+'R&amp;C-Painel de Controle'!$P57*L42/1000000,0)</f>
        <v>9.3102429969464833</v>
      </c>
      <c r="M97" s="327">
        <f>IF(M42&gt;0,'R&amp;C-Painel de Controle'!$O57+'R&amp;C-Painel de Controle'!$P57*M42/1000000,0)</f>
        <v>9.3102429969464833</v>
      </c>
      <c r="N97" s="327">
        <f>IF(N42&gt;0,'R&amp;C-Painel de Controle'!$O57+'R&amp;C-Painel de Controle'!$P57*N42/1000000,0)</f>
        <v>9.3102429969464833</v>
      </c>
      <c r="O97" s="327">
        <f>IF(O42&gt;0,'R&amp;C-Painel de Controle'!$O57+'R&amp;C-Painel de Controle'!$P57*O42/1000000,0)</f>
        <v>9.3102429969464833</v>
      </c>
      <c r="P97" s="327">
        <f>IF(P42&gt;0,'R&amp;C-Painel de Controle'!$O57+'R&amp;C-Painel de Controle'!$P57*P42/1000000,0)</f>
        <v>9.3102429969464833</v>
      </c>
      <c r="Q97" s="327">
        <f>IF(Q42&gt;0,'R&amp;C-Painel de Controle'!$O57+'R&amp;C-Painel de Controle'!$P57*Q42/1000000,0)</f>
        <v>9.3102429969464833</v>
      </c>
      <c r="R97" s="305">
        <f t="shared" ref="R97:BC97" si="42">Q97</f>
        <v>9.3102429969464833</v>
      </c>
      <c r="S97" s="305">
        <f t="shared" si="42"/>
        <v>9.3102429969464833</v>
      </c>
      <c r="T97" s="305">
        <f t="shared" si="42"/>
        <v>9.3102429969464833</v>
      </c>
      <c r="U97" s="305">
        <f t="shared" si="42"/>
        <v>9.3102429969464833</v>
      </c>
      <c r="V97" s="305">
        <f t="shared" si="42"/>
        <v>9.3102429969464833</v>
      </c>
      <c r="W97" s="305">
        <f t="shared" si="42"/>
        <v>9.3102429969464833</v>
      </c>
      <c r="X97" s="305">
        <f t="shared" si="42"/>
        <v>9.3102429969464833</v>
      </c>
      <c r="Y97" s="305">
        <f t="shared" si="42"/>
        <v>9.3102429969464833</v>
      </c>
      <c r="Z97" s="305">
        <f t="shared" si="42"/>
        <v>9.3102429969464833</v>
      </c>
      <c r="AA97" s="305">
        <f t="shared" si="42"/>
        <v>9.3102429969464833</v>
      </c>
      <c r="AB97" s="305">
        <f t="shared" si="42"/>
        <v>9.3102429969464833</v>
      </c>
      <c r="AC97" s="305">
        <f t="shared" si="42"/>
        <v>9.3102429969464833</v>
      </c>
      <c r="AD97" s="305">
        <f t="shared" si="42"/>
        <v>9.3102429969464833</v>
      </c>
      <c r="AE97" s="305">
        <f t="shared" si="42"/>
        <v>9.3102429969464833</v>
      </c>
      <c r="AF97" s="305">
        <f t="shared" si="42"/>
        <v>9.3102429969464833</v>
      </c>
      <c r="AG97" s="305">
        <f t="shared" si="42"/>
        <v>9.3102429969464833</v>
      </c>
      <c r="AH97" s="305">
        <f t="shared" si="42"/>
        <v>9.3102429969464833</v>
      </c>
      <c r="AI97" s="305">
        <f t="shared" si="42"/>
        <v>9.3102429969464833</v>
      </c>
      <c r="AJ97" s="305">
        <f t="shared" si="42"/>
        <v>9.3102429969464833</v>
      </c>
      <c r="AK97" s="305">
        <f t="shared" si="42"/>
        <v>9.3102429969464833</v>
      </c>
      <c r="AL97" s="305">
        <f t="shared" si="42"/>
        <v>9.3102429969464833</v>
      </c>
      <c r="AM97" s="305">
        <f t="shared" si="42"/>
        <v>9.3102429969464833</v>
      </c>
      <c r="AN97" s="305">
        <f t="shared" si="42"/>
        <v>9.3102429969464833</v>
      </c>
      <c r="AO97" s="305">
        <f t="shared" si="42"/>
        <v>9.3102429969464833</v>
      </c>
      <c r="AP97" s="305">
        <f t="shared" si="42"/>
        <v>9.3102429969464833</v>
      </c>
      <c r="AQ97" s="305">
        <f t="shared" si="42"/>
        <v>9.3102429969464833</v>
      </c>
      <c r="AR97" s="305">
        <f t="shared" si="42"/>
        <v>9.3102429969464833</v>
      </c>
      <c r="AS97" s="305">
        <f t="shared" si="42"/>
        <v>9.3102429969464833</v>
      </c>
      <c r="AT97" s="305">
        <f t="shared" si="42"/>
        <v>9.3102429969464833</v>
      </c>
      <c r="AU97" s="305">
        <f t="shared" si="42"/>
        <v>9.3102429969464833</v>
      </c>
      <c r="AV97" s="305">
        <f t="shared" si="42"/>
        <v>9.3102429969464833</v>
      </c>
      <c r="AW97" s="305">
        <f t="shared" si="42"/>
        <v>9.3102429969464833</v>
      </c>
      <c r="AX97" s="305">
        <f t="shared" si="42"/>
        <v>9.3102429969464833</v>
      </c>
      <c r="AY97" s="305">
        <f t="shared" si="42"/>
        <v>9.3102429969464833</v>
      </c>
      <c r="AZ97" s="305">
        <f t="shared" si="42"/>
        <v>9.3102429969464833</v>
      </c>
      <c r="BA97" s="305">
        <f t="shared" si="42"/>
        <v>9.3102429969464833</v>
      </c>
      <c r="BB97" s="305">
        <f t="shared" si="42"/>
        <v>9.3102429969464833</v>
      </c>
      <c r="BC97" s="305">
        <f t="shared" si="42"/>
        <v>9.3102429969464833</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Sim</v>
      </c>
      <c r="D101" s="325">
        <f>D46</f>
        <v>79707.40625</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6.1658131676003221</v>
      </c>
      <c r="G103" s="327">
        <f>IF(G48&gt;0,'R&amp;C-Painel de Controle'!$O63+'R&amp;C-Painel de Controle'!$P63*G48/1000000,0)</f>
        <v>6.1658131676003221</v>
      </c>
      <c r="H103" s="327">
        <f>IF(H48&gt;0,'R&amp;C-Painel de Controle'!$O63+'R&amp;C-Painel de Controle'!$P63*H48/1000000,0)</f>
        <v>6.1658131676003221</v>
      </c>
      <c r="I103" s="327">
        <f>IF(I48&gt;0,'R&amp;C-Painel de Controle'!$O63+'R&amp;C-Painel de Controle'!$P63*I48/1000000,0)</f>
        <v>6.1658131676003221</v>
      </c>
      <c r="J103" s="327">
        <f>IF(J48&gt;0,'R&amp;C-Painel de Controle'!$O63+'R&amp;C-Painel de Controle'!$P63*J48/1000000,0)</f>
        <v>6.1658131676003221</v>
      </c>
      <c r="K103" s="327">
        <f>IF(K48&gt;0,'R&amp;C-Painel de Controle'!$O63+'R&amp;C-Painel de Controle'!$P63*K48/1000000,0)</f>
        <v>6.1658131676003221</v>
      </c>
      <c r="L103" s="327">
        <f>IF(L48&gt;0,'R&amp;C-Painel de Controle'!$O63+'R&amp;C-Painel de Controle'!$P63*L48/1000000,0)</f>
        <v>6.1658131676003221</v>
      </c>
      <c r="M103" s="327">
        <f>IF(M48&gt;0,'R&amp;C-Painel de Controle'!$O63+'R&amp;C-Painel de Controle'!$P63*M48/1000000,0)</f>
        <v>6.1658131676003221</v>
      </c>
      <c r="N103" s="327">
        <f>IF(N48&gt;0,'R&amp;C-Painel de Controle'!$O63+'R&amp;C-Painel de Controle'!$P63*N48/1000000,0)</f>
        <v>6.1658131676003221</v>
      </c>
      <c r="O103" s="327">
        <f>IF(O48&gt;0,'R&amp;C-Painel de Controle'!$O63+'R&amp;C-Painel de Controle'!$P63*O48/1000000,0)</f>
        <v>6.1658131676003221</v>
      </c>
      <c r="P103" s="327">
        <f>IF(P48&gt;0,'R&amp;C-Painel de Controle'!$O63+'R&amp;C-Painel de Controle'!$P63*P48/1000000,0)</f>
        <v>6.1658131676003221</v>
      </c>
      <c r="Q103" s="327">
        <f>IF(Q48&gt;0,'R&amp;C-Painel de Controle'!$O63+'R&amp;C-Painel de Controle'!$P63*Q48/1000000,0)</f>
        <v>6.1658131676003221</v>
      </c>
      <c r="R103" s="305">
        <f t="shared" ref="R103:BC103" si="44">Q103</f>
        <v>6.1658131676003221</v>
      </c>
      <c r="S103" s="305">
        <f t="shared" si="44"/>
        <v>6.1658131676003221</v>
      </c>
      <c r="T103" s="305">
        <f t="shared" si="44"/>
        <v>6.1658131676003221</v>
      </c>
      <c r="U103" s="305">
        <f t="shared" si="44"/>
        <v>6.1658131676003221</v>
      </c>
      <c r="V103" s="305">
        <f t="shared" si="44"/>
        <v>6.1658131676003221</v>
      </c>
      <c r="W103" s="305">
        <f t="shared" si="44"/>
        <v>6.1658131676003221</v>
      </c>
      <c r="X103" s="305">
        <f t="shared" si="44"/>
        <v>6.1658131676003221</v>
      </c>
      <c r="Y103" s="305">
        <f t="shared" si="44"/>
        <v>6.1658131676003221</v>
      </c>
      <c r="Z103" s="305">
        <f t="shared" si="44"/>
        <v>6.1658131676003221</v>
      </c>
      <c r="AA103" s="305">
        <f t="shared" si="44"/>
        <v>6.1658131676003221</v>
      </c>
      <c r="AB103" s="305">
        <f t="shared" si="44"/>
        <v>6.1658131676003221</v>
      </c>
      <c r="AC103" s="305">
        <f t="shared" si="44"/>
        <v>6.1658131676003221</v>
      </c>
      <c r="AD103" s="305">
        <f t="shared" si="44"/>
        <v>6.1658131676003221</v>
      </c>
      <c r="AE103" s="305">
        <f t="shared" si="44"/>
        <v>6.1658131676003221</v>
      </c>
      <c r="AF103" s="305">
        <f t="shared" si="44"/>
        <v>6.1658131676003221</v>
      </c>
      <c r="AG103" s="305">
        <f t="shared" si="44"/>
        <v>6.1658131676003221</v>
      </c>
      <c r="AH103" s="305">
        <f t="shared" si="44"/>
        <v>6.1658131676003221</v>
      </c>
      <c r="AI103" s="305">
        <f t="shared" si="44"/>
        <v>6.1658131676003221</v>
      </c>
      <c r="AJ103" s="305">
        <f t="shared" si="44"/>
        <v>6.1658131676003221</v>
      </c>
      <c r="AK103" s="305">
        <f t="shared" si="44"/>
        <v>6.1658131676003221</v>
      </c>
      <c r="AL103" s="305">
        <f t="shared" si="44"/>
        <v>6.1658131676003221</v>
      </c>
      <c r="AM103" s="305">
        <f t="shared" si="44"/>
        <v>6.1658131676003221</v>
      </c>
      <c r="AN103" s="305">
        <f t="shared" si="44"/>
        <v>6.1658131676003221</v>
      </c>
      <c r="AO103" s="305">
        <f t="shared" si="44"/>
        <v>6.1658131676003221</v>
      </c>
      <c r="AP103" s="305">
        <f t="shared" si="44"/>
        <v>6.1658131676003221</v>
      </c>
      <c r="AQ103" s="305">
        <f t="shared" si="44"/>
        <v>6.1658131676003221</v>
      </c>
      <c r="AR103" s="305">
        <f t="shared" si="44"/>
        <v>6.1658131676003221</v>
      </c>
      <c r="AS103" s="305">
        <f t="shared" si="44"/>
        <v>6.1658131676003221</v>
      </c>
      <c r="AT103" s="305">
        <f t="shared" si="44"/>
        <v>6.1658131676003221</v>
      </c>
      <c r="AU103" s="305">
        <f t="shared" si="44"/>
        <v>6.1658131676003221</v>
      </c>
      <c r="AV103" s="305">
        <f t="shared" si="44"/>
        <v>6.1658131676003221</v>
      </c>
      <c r="AW103" s="305">
        <f t="shared" si="44"/>
        <v>6.1658131676003221</v>
      </c>
      <c r="AX103" s="305">
        <f t="shared" si="44"/>
        <v>6.1658131676003221</v>
      </c>
      <c r="AY103" s="305">
        <f t="shared" si="44"/>
        <v>6.1658131676003221</v>
      </c>
      <c r="AZ103" s="305">
        <f t="shared" si="44"/>
        <v>6.1658131676003221</v>
      </c>
      <c r="BA103" s="305">
        <f t="shared" si="44"/>
        <v>6.1658131676003221</v>
      </c>
      <c r="BB103" s="305">
        <f t="shared" si="44"/>
        <v>6.1658131676003221</v>
      </c>
      <c r="BC103" s="305">
        <f t="shared" si="44"/>
        <v>6.1658131676003221</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46153.415000000001</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5.50186995538402</v>
      </c>
      <c r="G115" s="327">
        <f>IF(G60&gt;0,'R&amp;C-Painel de Controle'!$O75+'R&amp;C-Painel de Controle'!$P75*G60/1000000,0)</f>
        <v>5.50186995538402</v>
      </c>
      <c r="H115" s="327">
        <f>IF(H60&gt;0,'R&amp;C-Painel de Controle'!$O75+'R&amp;C-Painel de Controle'!$P75*H60/1000000,0)</f>
        <v>5.50186995538402</v>
      </c>
      <c r="I115" s="327">
        <f>IF(I60&gt;0,'R&amp;C-Painel de Controle'!$O75+'R&amp;C-Painel de Controle'!$P75*I60/1000000,0)</f>
        <v>5.50186995538402</v>
      </c>
      <c r="J115" s="327">
        <f>IF(J60&gt;0,'R&amp;C-Painel de Controle'!$O75+'R&amp;C-Painel de Controle'!$P75*J60/1000000,0)</f>
        <v>5.50186995538402</v>
      </c>
      <c r="K115" s="327">
        <f>IF(K60&gt;0,'R&amp;C-Painel de Controle'!$O75+'R&amp;C-Painel de Controle'!$P75*K60/1000000,0)</f>
        <v>5.50186995538402</v>
      </c>
      <c r="L115" s="327">
        <f>IF(L60&gt;0,'R&amp;C-Painel de Controle'!$O75+'R&amp;C-Painel de Controle'!$P75*L60/1000000,0)</f>
        <v>5.50186995538402</v>
      </c>
      <c r="M115" s="327">
        <f>IF(M60&gt;0,'R&amp;C-Painel de Controle'!$O75+'R&amp;C-Painel de Controle'!$P75*M60/1000000,0)</f>
        <v>5.50186995538402</v>
      </c>
      <c r="N115" s="327">
        <f>IF(N60&gt;0,'R&amp;C-Painel de Controle'!$O75+'R&amp;C-Painel de Controle'!$P75*N60/1000000,0)</f>
        <v>5.50186995538402</v>
      </c>
      <c r="O115" s="327">
        <f>IF(O60&gt;0,'R&amp;C-Painel de Controle'!$O75+'R&amp;C-Painel de Controle'!$P75*O60/1000000,0)</f>
        <v>5.50186995538402</v>
      </c>
      <c r="P115" s="327">
        <f>IF(P60&gt;0,'R&amp;C-Painel de Controle'!$O75+'R&amp;C-Painel de Controle'!$P75*P60/1000000,0)</f>
        <v>5.50186995538402</v>
      </c>
      <c r="Q115" s="327">
        <f>IF(Q60&gt;0,'R&amp;C-Painel de Controle'!$O75+'R&amp;C-Painel de Controle'!$P75*Q60/1000000,0)</f>
        <v>5.50186995538402</v>
      </c>
      <c r="R115" s="305">
        <f t="shared" ref="R115:BC115" si="48">Q115</f>
        <v>5.50186995538402</v>
      </c>
      <c r="S115" s="305">
        <f t="shared" si="48"/>
        <v>5.50186995538402</v>
      </c>
      <c r="T115" s="305">
        <f t="shared" si="48"/>
        <v>5.50186995538402</v>
      </c>
      <c r="U115" s="305">
        <f t="shared" si="48"/>
        <v>5.50186995538402</v>
      </c>
      <c r="V115" s="305">
        <f t="shared" si="48"/>
        <v>5.50186995538402</v>
      </c>
      <c r="W115" s="305">
        <f t="shared" si="48"/>
        <v>5.50186995538402</v>
      </c>
      <c r="X115" s="305">
        <f t="shared" si="48"/>
        <v>5.50186995538402</v>
      </c>
      <c r="Y115" s="305">
        <f t="shared" si="48"/>
        <v>5.50186995538402</v>
      </c>
      <c r="Z115" s="305">
        <f t="shared" si="48"/>
        <v>5.50186995538402</v>
      </c>
      <c r="AA115" s="305">
        <f t="shared" si="48"/>
        <v>5.50186995538402</v>
      </c>
      <c r="AB115" s="305">
        <f t="shared" si="48"/>
        <v>5.50186995538402</v>
      </c>
      <c r="AC115" s="305">
        <f t="shared" si="48"/>
        <v>5.50186995538402</v>
      </c>
      <c r="AD115" s="305">
        <f t="shared" si="48"/>
        <v>5.50186995538402</v>
      </c>
      <c r="AE115" s="305">
        <f t="shared" si="48"/>
        <v>5.50186995538402</v>
      </c>
      <c r="AF115" s="305">
        <f t="shared" si="48"/>
        <v>5.50186995538402</v>
      </c>
      <c r="AG115" s="305">
        <f t="shared" si="48"/>
        <v>5.50186995538402</v>
      </c>
      <c r="AH115" s="305">
        <f t="shared" si="48"/>
        <v>5.50186995538402</v>
      </c>
      <c r="AI115" s="305">
        <f t="shared" si="48"/>
        <v>5.50186995538402</v>
      </c>
      <c r="AJ115" s="305">
        <f t="shared" si="48"/>
        <v>5.50186995538402</v>
      </c>
      <c r="AK115" s="305">
        <f t="shared" si="48"/>
        <v>5.50186995538402</v>
      </c>
      <c r="AL115" s="305">
        <f t="shared" si="48"/>
        <v>5.50186995538402</v>
      </c>
      <c r="AM115" s="305">
        <f t="shared" si="48"/>
        <v>5.50186995538402</v>
      </c>
      <c r="AN115" s="305">
        <f t="shared" si="48"/>
        <v>5.50186995538402</v>
      </c>
      <c r="AO115" s="305">
        <f t="shared" si="48"/>
        <v>5.50186995538402</v>
      </c>
      <c r="AP115" s="305">
        <f t="shared" si="48"/>
        <v>5.50186995538402</v>
      </c>
      <c r="AQ115" s="305">
        <f t="shared" si="48"/>
        <v>5.50186995538402</v>
      </c>
      <c r="AR115" s="305">
        <f t="shared" si="48"/>
        <v>5.50186995538402</v>
      </c>
      <c r="AS115" s="305">
        <f t="shared" si="48"/>
        <v>5.50186995538402</v>
      </c>
      <c r="AT115" s="305">
        <f t="shared" si="48"/>
        <v>5.50186995538402</v>
      </c>
      <c r="AU115" s="305">
        <f t="shared" si="48"/>
        <v>5.50186995538402</v>
      </c>
      <c r="AV115" s="305">
        <f t="shared" si="48"/>
        <v>5.50186995538402</v>
      </c>
      <c r="AW115" s="305">
        <f t="shared" si="48"/>
        <v>5.50186995538402</v>
      </c>
      <c r="AX115" s="305">
        <f t="shared" si="48"/>
        <v>5.50186995538402</v>
      </c>
      <c r="AY115" s="305">
        <f t="shared" si="48"/>
        <v>5.50186995538402</v>
      </c>
      <c r="AZ115" s="305">
        <f t="shared" si="48"/>
        <v>5.50186995538402</v>
      </c>
      <c r="BA115" s="305">
        <f t="shared" si="48"/>
        <v>5.50186995538402</v>
      </c>
      <c r="BB115" s="305">
        <f t="shared" si="48"/>
        <v>5.50186995538402</v>
      </c>
      <c r="BC115" s="305">
        <f t="shared" si="48"/>
        <v>5.50186995538402</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1.3642980000000002</v>
      </c>
      <c r="D117" s="306">
        <f>IF('R-Definição'!$E$121="Existente",D90+((('R&amp;C-Painel de Controle'!$D$88+'R&amp;C-Painel de Controle'!$D$89)*('R&amp;C-Painel de Controle'!$D$44+'R&amp;C-Painel de Controle'!$D$46))/1000000),D90+((('R&amp;C-Painel de Controle'!$D$88)*('R&amp;C-Painel de Controle'!$D$44+'R&amp;C-Painel de Controle'!$D$46))/1000000))</f>
        <v>1.3642980000000002</v>
      </c>
      <c r="E117" s="306">
        <f>IF('R-Definição'!$E$121="Existente",E90+((('R&amp;C-Painel de Controle'!$D$88+'R&amp;C-Painel de Controle'!$D$89)*('R&amp;C-Painel de Controle'!$D$44+'R&amp;C-Painel de Controle'!$D$46))/1000000),E90+((('R&amp;C-Painel de Controle'!$D$88)*('R&amp;C-Painel de Controle'!$D$44+'R&amp;C-Painel de Controle'!$D$46))/1000000))</f>
        <v>1.3642980000000002</v>
      </c>
      <c r="F117" s="306">
        <f>IF('R-Definição'!$E$121="Existente",F90+((('R&amp;C-Painel de Controle'!$D$88+'R&amp;C-Painel de Controle'!$D$89)*('R&amp;C-Painel de Controle'!$D$44+'R&amp;C-Painel de Controle'!$D$46))/1000000),F90+((('R&amp;C-Painel de Controle'!$D$88)*('R&amp;C-Painel de Controle'!$D$44+'R&amp;C-Painel de Controle'!$D$46))/1000000))</f>
        <v>22.342224119930826</v>
      </c>
      <c r="G117" s="306">
        <f>IF('R-Definição'!$E$121="Existente",G90+((('R&amp;C-Painel de Controle'!$D$88+'R&amp;C-Painel de Controle'!$D$89)*('R&amp;C-Painel de Controle'!$D$44+'R&amp;C-Painel de Controle'!$D$46))/1000000),G90+((('R&amp;C-Painel de Controle'!$D$88)*('R&amp;C-Painel de Controle'!$D$44+'R&amp;C-Painel de Controle'!$D$46))/1000000))</f>
        <v>22.342224119930826</v>
      </c>
      <c r="H117" s="306">
        <f>IF('R-Definição'!$E$121="Existente",H90+((('R&amp;C-Painel de Controle'!$D$88+'R&amp;C-Painel de Controle'!$D$89)*('R&amp;C-Painel de Controle'!$D$44+'R&amp;C-Painel de Controle'!$D$46))/1000000),H90+((('R&amp;C-Painel de Controle'!$D$88)*('R&amp;C-Painel de Controle'!$D$44+'R&amp;C-Painel de Controle'!$D$46))/1000000))</f>
        <v>22.342224119930826</v>
      </c>
      <c r="I117" s="306">
        <f>IF('R-Definição'!$E$121="Existente",I90+((('R&amp;C-Painel de Controle'!$D$88+'R&amp;C-Painel de Controle'!$D$89)*('R&amp;C-Painel de Controle'!$D$44+'R&amp;C-Painel de Controle'!$D$46))/1000000),I90+((('R&amp;C-Painel de Controle'!$D$88)*('R&amp;C-Painel de Controle'!$D$44+'R&amp;C-Painel de Controle'!$D$46))/1000000))</f>
        <v>22.342224119930826</v>
      </c>
      <c r="J117" s="306">
        <f>IF('R-Definição'!$E$121="Existente",J90+((('R&amp;C-Painel de Controle'!$D$88+'R&amp;C-Painel de Controle'!$D$89)*('R&amp;C-Painel de Controle'!$D$44+'R&amp;C-Painel de Controle'!$D$46))/1000000),J90+((('R&amp;C-Painel de Controle'!$D$88)*('R&amp;C-Painel de Controle'!$D$44+'R&amp;C-Painel de Controle'!$D$46))/1000000))</f>
        <v>22.342224119930826</v>
      </c>
      <c r="K117" s="306">
        <f>IF('R-Definição'!$E$121="Existente",K90+((('R&amp;C-Painel de Controle'!$D$88+'R&amp;C-Painel de Controle'!$D$89)*('R&amp;C-Painel de Controle'!$D$44+'R&amp;C-Painel de Controle'!$D$46))/1000000),K90+((('R&amp;C-Painel de Controle'!$D$88)*('R&amp;C-Painel de Controle'!$D$44+'R&amp;C-Painel de Controle'!$D$46))/1000000))</f>
        <v>22.342224119930826</v>
      </c>
      <c r="L117" s="306">
        <f>IF('R-Definição'!$E$121="Existente",L90+((('R&amp;C-Painel de Controle'!$D$88+'R&amp;C-Painel de Controle'!$D$89)*('R&amp;C-Painel de Controle'!$D$44+'R&amp;C-Painel de Controle'!$D$46))/1000000),L90+((('R&amp;C-Painel de Controle'!$D$88)*('R&amp;C-Painel de Controle'!$D$44+'R&amp;C-Painel de Controle'!$D$46))/1000000))</f>
        <v>22.342224119930826</v>
      </c>
      <c r="M117" s="306">
        <f>IF('R-Definição'!$E$121="Existente",M90+((('R&amp;C-Painel de Controle'!$D$88+'R&amp;C-Painel de Controle'!$D$89)*('R&amp;C-Painel de Controle'!$D$44+'R&amp;C-Painel de Controle'!$D$46))/1000000),M90+((('R&amp;C-Painel de Controle'!$D$88)*('R&amp;C-Painel de Controle'!$D$44+'R&amp;C-Painel de Controle'!$D$46))/1000000))</f>
        <v>22.342224119930826</v>
      </c>
      <c r="N117" s="306">
        <f>IF('R-Definição'!$E$121="Existente",N90+((('R&amp;C-Painel de Controle'!$D$88+'R&amp;C-Painel de Controle'!$D$89)*('R&amp;C-Painel de Controle'!$D$44+'R&amp;C-Painel de Controle'!$D$46))/1000000),N90+((('R&amp;C-Painel de Controle'!$D$88)*('R&amp;C-Painel de Controle'!$D$44+'R&amp;C-Painel de Controle'!$D$46))/1000000))</f>
        <v>22.342224119930826</v>
      </c>
      <c r="O117" s="306">
        <f>IF('R-Definição'!$E$121="Existente",O90+((('R&amp;C-Painel de Controle'!$D$88+'R&amp;C-Painel de Controle'!$D$89)*('R&amp;C-Painel de Controle'!$D$44+'R&amp;C-Painel de Controle'!$D$46))/1000000),O90+((('R&amp;C-Painel de Controle'!$D$88)*('R&amp;C-Painel de Controle'!$D$44+'R&amp;C-Painel de Controle'!$D$46))/1000000))</f>
        <v>22.342224119930826</v>
      </c>
      <c r="P117" s="306">
        <f>IF('R-Definição'!$E$121="Existente",P90+((('R&amp;C-Painel de Controle'!$D$88+'R&amp;C-Painel de Controle'!$D$89)*('R&amp;C-Painel de Controle'!$D$44+'R&amp;C-Painel de Controle'!$D$46))/1000000),P90+((('R&amp;C-Painel de Controle'!$D$88)*('R&amp;C-Painel de Controle'!$D$44+'R&amp;C-Painel de Controle'!$D$46))/1000000))</f>
        <v>22.342224119930826</v>
      </c>
      <c r="Q117" s="306">
        <f>IF('R-Definição'!$E$121="Existente",Q90+((('R&amp;C-Painel de Controle'!$D$88+'R&amp;C-Painel de Controle'!$D$89)*('R&amp;C-Painel de Controle'!$D$44+'R&amp;C-Painel de Controle'!$D$46))/1000000),Q90+((('R&amp;C-Painel de Controle'!$D$88)*('R&amp;C-Painel de Controle'!$D$44+'R&amp;C-Painel de Controle'!$D$46))/1000000))</f>
        <v>22.342224119930826</v>
      </c>
      <c r="R117" s="306">
        <f>IF('R-Definição'!$E$121="Existente",R90+((('R&amp;C-Painel de Controle'!$D$88+'R&amp;C-Painel de Controle'!$D$89)*('R&amp;C-Painel de Controle'!$D$44+'R&amp;C-Painel de Controle'!$D$46))/1000000),R90+((('R&amp;C-Painel de Controle'!$D$88)*('R&amp;C-Painel de Controle'!$D$44+'R&amp;C-Painel de Controle'!$D$46))/1000000))</f>
        <v>22.342224119930826</v>
      </c>
      <c r="S117" s="306">
        <f>IF('R-Definição'!$E$121="Existente",S90+((('R&amp;C-Painel de Controle'!$D$88+'R&amp;C-Painel de Controle'!$D$89)*('R&amp;C-Painel de Controle'!$D$44+'R&amp;C-Painel de Controle'!$D$46))/1000000),S90+((('R&amp;C-Painel de Controle'!$D$88)*('R&amp;C-Painel de Controle'!$D$44+'R&amp;C-Painel de Controle'!$D$46))/1000000))</f>
        <v>22.342224119930826</v>
      </c>
      <c r="T117" s="306">
        <f>IF('R-Definição'!$E$121="Existente",T90+((('R&amp;C-Painel de Controle'!$D$88+'R&amp;C-Painel de Controle'!$D$89)*('R&amp;C-Painel de Controle'!$D$44+'R&amp;C-Painel de Controle'!$D$46))/1000000),T90+((('R&amp;C-Painel de Controle'!$D$88)*('R&amp;C-Painel de Controle'!$D$44+'R&amp;C-Painel de Controle'!$D$46))/1000000))</f>
        <v>22.342224119930826</v>
      </c>
      <c r="U117" s="306">
        <f>IF('R-Definição'!$E$121="Existente",U90+((('R&amp;C-Painel de Controle'!$D$88+'R&amp;C-Painel de Controle'!$D$89)*('R&amp;C-Painel de Controle'!$D$44+'R&amp;C-Painel de Controle'!$D$46))/1000000),U90+((('R&amp;C-Painel de Controle'!$D$88)*('R&amp;C-Painel de Controle'!$D$44+'R&amp;C-Painel de Controle'!$D$46))/1000000))</f>
        <v>22.342224119930826</v>
      </c>
      <c r="V117" s="306">
        <f>IF('R-Definição'!$E$121="Existente",V90+((('R&amp;C-Painel de Controle'!$D$88+'R&amp;C-Painel de Controle'!$D$89)*('R&amp;C-Painel de Controle'!$D$44+'R&amp;C-Painel de Controle'!$D$46))/1000000),V90+((('R&amp;C-Painel de Controle'!$D$88)*('R&amp;C-Painel de Controle'!$D$44+'R&amp;C-Painel de Controle'!$D$46))/1000000))</f>
        <v>22.342224119930826</v>
      </c>
      <c r="W117" s="306">
        <f>IF('R-Definição'!$E$121="Existente",W90+((('R&amp;C-Painel de Controle'!$D$88+'R&amp;C-Painel de Controle'!$D$89)*('R&amp;C-Painel de Controle'!$D$44+'R&amp;C-Painel de Controle'!$D$46))/1000000),W90+((('R&amp;C-Painel de Controle'!$D$88)*('R&amp;C-Painel de Controle'!$D$44+'R&amp;C-Painel de Controle'!$D$46))/1000000))</f>
        <v>22.342224119930826</v>
      </c>
      <c r="X117" s="306">
        <f>IF('R-Definição'!$E$121="Existente",X90+((('R&amp;C-Painel de Controle'!$D$88+'R&amp;C-Painel de Controle'!$D$89)*('R&amp;C-Painel de Controle'!$D$44+'R&amp;C-Painel de Controle'!$D$46))/1000000),X90+((('R&amp;C-Painel de Controle'!$D$88)*('R&amp;C-Painel de Controle'!$D$44+'R&amp;C-Painel de Controle'!$D$46))/1000000))</f>
        <v>22.342224119930826</v>
      </c>
      <c r="Y117" s="306">
        <f>IF('R-Definição'!$E$121="Existente",Y90+((('R&amp;C-Painel de Controle'!$D$88+'R&amp;C-Painel de Controle'!$D$89)*('R&amp;C-Painel de Controle'!$D$44+'R&amp;C-Painel de Controle'!$D$46))/1000000),Y90+((('R&amp;C-Painel de Controle'!$D$88)*('R&amp;C-Painel de Controle'!$D$44+'R&amp;C-Painel de Controle'!$D$46))/1000000))</f>
        <v>22.342224119930826</v>
      </c>
      <c r="Z117" s="306">
        <f>IF('R-Definição'!$E$121="Existente",Z90+((('R&amp;C-Painel de Controle'!$D$88+'R&amp;C-Painel de Controle'!$D$89)*('R&amp;C-Painel de Controle'!$D$44+'R&amp;C-Painel de Controle'!$D$46))/1000000),Z90+((('R&amp;C-Painel de Controle'!$D$88)*('R&amp;C-Painel de Controle'!$D$44+'R&amp;C-Painel de Controle'!$D$46))/1000000))</f>
        <v>22.342224119930826</v>
      </c>
      <c r="AA117" s="306">
        <f>IF('R-Definição'!$E$121="Existente",AA90+((('R&amp;C-Painel de Controle'!$D$88+'R&amp;C-Painel de Controle'!$D$89)*('R&amp;C-Painel de Controle'!$D$44+'R&amp;C-Painel de Controle'!$D$46))/1000000),AA90+((('R&amp;C-Painel de Controle'!$D$88)*('R&amp;C-Painel de Controle'!$D$44+'R&amp;C-Painel de Controle'!$D$46))/1000000))</f>
        <v>22.342224119930826</v>
      </c>
      <c r="AB117" s="306">
        <f>IF('R-Definição'!$E$121="Existente",AB90+((('R&amp;C-Painel de Controle'!$D$88+'R&amp;C-Painel de Controle'!$D$89)*('R&amp;C-Painel de Controle'!$D$44+'R&amp;C-Painel de Controle'!$D$46))/1000000),AB90+((('R&amp;C-Painel de Controle'!$D$88)*('R&amp;C-Painel de Controle'!$D$44+'R&amp;C-Painel de Controle'!$D$46))/1000000))</f>
        <v>22.342224119930826</v>
      </c>
      <c r="AC117" s="306">
        <f>IF('R-Definição'!$E$121="Existente",AC90+((('R&amp;C-Painel de Controle'!$D$88+'R&amp;C-Painel de Controle'!$D$89)*('R&amp;C-Painel de Controle'!$D$44+'R&amp;C-Painel de Controle'!$D$46))/1000000),AC90+((('R&amp;C-Painel de Controle'!$D$88)*('R&amp;C-Painel de Controle'!$D$44+'R&amp;C-Painel de Controle'!$D$46))/1000000))</f>
        <v>22.342224119930826</v>
      </c>
      <c r="AD117" s="306">
        <f>IF('R-Definição'!$E$121="Existente",AD90+((('R&amp;C-Painel de Controle'!$D$88+'R&amp;C-Painel de Controle'!$D$89)*('R&amp;C-Painel de Controle'!$D$44+'R&amp;C-Painel de Controle'!$D$46))/1000000),AD90+((('R&amp;C-Painel de Controle'!$D$88)*('R&amp;C-Painel de Controle'!$D$44+'R&amp;C-Painel de Controle'!$D$46))/1000000))</f>
        <v>22.342224119930826</v>
      </c>
      <c r="AE117" s="306">
        <f>IF('R-Definição'!$E$121="Existente",AE90+((('R&amp;C-Painel de Controle'!$D$88+'R&amp;C-Painel de Controle'!$D$89)*('R&amp;C-Painel de Controle'!$D$44+'R&amp;C-Painel de Controle'!$D$46))/1000000),AE90+((('R&amp;C-Painel de Controle'!$D$88)*('R&amp;C-Painel de Controle'!$D$44+'R&amp;C-Painel de Controle'!$D$46))/1000000))</f>
        <v>22.342224119930826</v>
      </c>
      <c r="AF117" s="306">
        <f>IF('R-Definição'!$E$121="Existente",AF90+((('R&amp;C-Painel de Controle'!$D$88+'R&amp;C-Painel de Controle'!$D$89)*('R&amp;C-Painel de Controle'!$D$44+'R&amp;C-Painel de Controle'!$D$46))/1000000),AF90+((('R&amp;C-Painel de Controle'!$D$88)*('R&amp;C-Painel de Controle'!$D$44+'R&amp;C-Painel de Controle'!$D$46))/1000000))</f>
        <v>22.342224119930826</v>
      </c>
      <c r="AG117" s="306">
        <f>IF('R-Definição'!$E$121="Existente",AG90+((('R&amp;C-Painel de Controle'!$D$88+'R&amp;C-Painel de Controle'!$D$89)*('R&amp;C-Painel de Controle'!$D$44+'R&amp;C-Painel de Controle'!$D$46))/1000000),AG90+((('R&amp;C-Painel de Controle'!$D$88)*('R&amp;C-Painel de Controle'!$D$44+'R&amp;C-Painel de Controle'!$D$46))/1000000))</f>
        <v>22.342224119930826</v>
      </c>
      <c r="AH117" s="306">
        <f>IF('R-Definição'!$E$121="Existente",AH90+((('R&amp;C-Painel de Controle'!$D$88+'R&amp;C-Painel de Controle'!$D$89)*('R&amp;C-Painel de Controle'!$D$44+'R&amp;C-Painel de Controle'!$D$46))/1000000),AH90+((('R&amp;C-Painel de Controle'!$D$88)*('R&amp;C-Painel de Controle'!$D$44+'R&amp;C-Painel de Controle'!$D$46))/1000000))</f>
        <v>22.342224119930826</v>
      </c>
      <c r="AI117" s="306">
        <f>IF('R-Definição'!$E$121="Existente",AI90+((('R&amp;C-Painel de Controle'!$D$88+'R&amp;C-Painel de Controle'!$D$89)*('R&amp;C-Painel de Controle'!$D$44+'R&amp;C-Painel de Controle'!$D$46))/1000000),AI90+((('R&amp;C-Painel de Controle'!$D$88)*('R&amp;C-Painel de Controle'!$D$44+'R&amp;C-Painel de Controle'!$D$46))/1000000))</f>
        <v>22.342224119930826</v>
      </c>
      <c r="AJ117" s="306">
        <f>IF('R-Definição'!$E$121="Existente",AJ90+((('R&amp;C-Painel de Controle'!$D$88+'R&amp;C-Painel de Controle'!$D$89)*('R&amp;C-Painel de Controle'!$D$44+'R&amp;C-Painel de Controle'!$D$46))/1000000),AJ90+((('R&amp;C-Painel de Controle'!$D$88)*('R&amp;C-Painel de Controle'!$D$44+'R&amp;C-Painel de Controle'!$D$46))/1000000))</f>
        <v>22.342224119930826</v>
      </c>
      <c r="AK117" s="306">
        <f>IF('R-Definição'!$E$121="Existente",AK90+((('R&amp;C-Painel de Controle'!$D$88+'R&amp;C-Painel de Controle'!$D$89)*('R&amp;C-Painel de Controle'!$D$44+'R&amp;C-Painel de Controle'!$D$46))/1000000),AK90+((('R&amp;C-Painel de Controle'!$D$88)*('R&amp;C-Painel de Controle'!$D$44+'R&amp;C-Painel de Controle'!$D$46))/1000000))</f>
        <v>22.342224119930826</v>
      </c>
      <c r="AL117" s="306">
        <f>IF('R-Definição'!$E$121="Existente",AL90+((('R&amp;C-Painel de Controle'!$D$88+'R&amp;C-Painel de Controle'!$D$89)*('R&amp;C-Painel de Controle'!$D$44+'R&amp;C-Painel de Controle'!$D$46))/1000000),AL90+((('R&amp;C-Painel de Controle'!$D$88)*('R&amp;C-Painel de Controle'!$D$44+'R&amp;C-Painel de Controle'!$D$46))/1000000))</f>
        <v>22.342224119930826</v>
      </c>
      <c r="AM117" s="306">
        <f>IF('R-Definição'!$E$121="Existente",AM90+((('R&amp;C-Painel de Controle'!$D$88+'R&amp;C-Painel de Controle'!$D$89)*('R&amp;C-Painel de Controle'!$D$44+'R&amp;C-Painel de Controle'!$D$46))/1000000),AM90+((('R&amp;C-Painel de Controle'!$D$88)*('R&amp;C-Painel de Controle'!$D$44+'R&amp;C-Painel de Controle'!$D$46))/1000000))</f>
        <v>22.342224119930826</v>
      </c>
      <c r="AN117" s="306">
        <f>IF('R-Definição'!$E$121="Existente",AN90+((('R&amp;C-Painel de Controle'!$D$88+'R&amp;C-Painel de Controle'!$D$89)*('R&amp;C-Painel de Controle'!$D$44+'R&amp;C-Painel de Controle'!$D$46))/1000000),AN90+((('R&amp;C-Painel de Controle'!$D$88)*('R&amp;C-Painel de Controle'!$D$44+'R&amp;C-Painel de Controle'!$D$46))/1000000))</f>
        <v>22.342224119930826</v>
      </c>
      <c r="AO117" s="306">
        <f>IF('R-Definição'!$E$121="Existente",AO90+((('R&amp;C-Painel de Controle'!$D$88+'R&amp;C-Painel de Controle'!$D$89)*('R&amp;C-Painel de Controle'!$D$44+'R&amp;C-Painel de Controle'!$D$46))/1000000),AO90+((('R&amp;C-Painel de Controle'!$D$88)*('R&amp;C-Painel de Controle'!$D$44+'R&amp;C-Painel de Controle'!$D$46))/1000000))</f>
        <v>22.342224119930826</v>
      </c>
      <c r="AP117" s="306">
        <f>IF('R-Definição'!$E$121="Existente",AP90+((('R&amp;C-Painel de Controle'!$D$88+'R&amp;C-Painel de Controle'!$D$89)*('R&amp;C-Painel de Controle'!$D$44+'R&amp;C-Painel de Controle'!$D$46))/1000000),AP90+((('R&amp;C-Painel de Controle'!$D$88)*('R&amp;C-Painel de Controle'!$D$44+'R&amp;C-Painel de Controle'!$D$46))/1000000))</f>
        <v>22.342224119930826</v>
      </c>
      <c r="AQ117" s="306">
        <f>IF('R-Definição'!$E$121="Existente",AQ90+((('R&amp;C-Painel de Controle'!$D$88+'R&amp;C-Painel de Controle'!$D$89)*('R&amp;C-Painel de Controle'!$D$44+'R&amp;C-Painel de Controle'!$D$46))/1000000),AQ90+((('R&amp;C-Painel de Controle'!$D$88)*('R&amp;C-Painel de Controle'!$D$44+'R&amp;C-Painel de Controle'!$D$46))/1000000))</f>
        <v>22.342224119930826</v>
      </c>
      <c r="AR117" s="306">
        <f>IF('R-Definição'!$E$121="Existente",AR90+((('R&amp;C-Painel de Controle'!$D$88+'R&amp;C-Painel de Controle'!$D$89)*('R&amp;C-Painel de Controle'!$D$44+'R&amp;C-Painel de Controle'!$D$46))/1000000),AR90+((('R&amp;C-Painel de Controle'!$D$88)*('R&amp;C-Painel de Controle'!$D$44+'R&amp;C-Painel de Controle'!$D$46))/1000000))</f>
        <v>22.342224119930826</v>
      </c>
      <c r="AS117" s="306">
        <f>IF('R-Definição'!$E$121="Existente",AS90+((('R&amp;C-Painel de Controle'!$D$88+'R&amp;C-Painel de Controle'!$D$89)*('R&amp;C-Painel de Controle'!$D$44+'R&amp;C-Painel de Controle'!$D$46))/1000000),AS90+((('R&amp;C-Painel de Controle'!$D$88)*('R&amp;C-Painel de Controle'!$D$44+'R&amp;C-Painel de Controle'!$D$46))/1000000))</f>
        <v>22.342224119930826</v>
      </c>
      <c r="AT117" s="306">
        <f>IF('R-Definição'!$E$121="Existente",AT90+((('R&amp;C-Painel de Controle'!$D$88+'R&amp;C-Painel de Controle'!$D$89)*('R&amp;C-Painel de Controle'!$D$44+'R&amp;C-Painel de Controle'!$D$46))/1000000),AT90+((('R&amp;C-Painel de Controle'!$D$88)*('R&amp;C-Painel de Controle'!$D$44+'R&amp;C-Painel de Controle'!$D$46))/1000000))</f>
        <v>22.342224119930826</v>
      </c>
      <c r="AU117" s="306">
        <f>IF('R-Definição'!$E$121="Existente",AU90+((('R&amp;C-Painel de Controle'!$D$88+'R&amp;C-Painel de Controle'!$D$89)*('R&amp;C-Painel de Controle'!$D$44+'R&amp;C-Painel de Controle'!$D$46))/1000000),AU90+((('R&amp;C-Painel de Controle'!$D$88)*('R&amp;C-Painel de Controle'!$D$44+'R&amp;C-Painel de Controle'!$D$46))/1000000))</f>
        <v>22.342224119930826</v>
      </c>
      <c r="AV117" s="306">
        <f>IF('R-Definição'!$E$121="Existente",AV90+((('R&amp;C-Painel de Controle'!$D$88+'R&amp;C-Painel de Controle'!$D$89)*('R&amp;C-Painel de Controle'!$D$44+'R&amp;C-Painel de Controle'!$D$46))/1000000),AV90+((('R&amp;C-Painel de Controle'!$D$88)*('R&amp;C-Painel de Controle'!$D$44+'R&amp;C-Painel de Controle'!$D$46))/1000000))</f>
        <v>22.342224119930826</v>
      </c>
      <c r="AW117" s="306">
        <f>IF('R-Definição'!$E$121="Existente",AW90+((('R&amp;C-Painel de Controle'!$D$88+'R&amp;C-Painel de Controle'!$D$89)*('R&amp;C-Painel de Controle'!$D$44+'R&amp;C-Painel de Controle'!$D$46))/1000000),AW90+((('R&amp;C-Painel de Controle'!$D$88)*('R&amp;C-Painel de Controle'!$D$44+'R&amp;C-Painel de Controle'!$D$46))/1000000))</f>
        <v>22.342224119930826</v>
      </c>
      <c r="AX117" s="306">
        <f>IF('R-Definição'!$E$121="Existente",AX90+((('R&amp;C-Painel de Controle'!$D$88+'R&amp;C-Painel de Controle'!$D$89)*('R&amp;C-Painel de Controle'!$D$44+'R&amp;C-Painel de Controle'!$D$46))/1000000),AX90+((('R&amp;C-Painel de Controle'!$D$88)*('R&amp;C-Painel de Controle'!$D$44+'R&amp;C-Painel de Controle'!$D$46))/1000000))</f>
        <v>22.342224119930826</v>
      </c>
      <c r="AY117" s="306">
        <f>IF('R-Definição'!$E$121="Existente",AY90+((('R&amp;C-Painel de Controle'!$D$88+'R&amp;C-Painel de Controle'!$D$89)*('R&amp;C-Painel de Controle'!$D$44+'R&amp;C-Painel de Controle'!$D$46))/1000000),AY90+((('R&amp;C-Painel de Controle'!$D$88)*('R&amp;C-Painel de Controle'!$D$44+'R&amp;C-Painel de Controle'!$D$46))/1000000))</f>
        <v>22.342224119930826</v>
      </c>
      <c r="AZ117" s="306">
        <f>IF('R-Definição'!$E$121="Existente",AZ90+((('R&amp;C-Painel de Controle'!$D$88+'R&amp;C-Painel de Controle'!$D$89)*('R&amp;C-Painel de Controle'!$D$44+'R&amp;C-Painel de Controle'!$D$46))/1000000),AZ90+((('R&amp;C-Painel de Controle'!$D$88)*('R&amp;C-Painel de Controle'!$D$44+'R&amp;C-Painel de Controle'!$D$46))/1000000))</f>
        <v>22.342224119930826</v>
      </c>
      <c r="BA117" s="306">
        <f>IF('R-Definição'!$E$121="Existente",BA90+((('R&amp;C-Painel de Controle'!$D$88+'R&amp;C-Painel de Controle'!$D$89)*('R&amp;C-Painel de Controle'!$D$44+'R&amp;C-Painel de Controle'!$D$46))/1000000),BA90+((('R&amp;C-Painel de Controle'!$D$88)*('R&amp;C-Painel de Controle'!$D$44+'R&amp;C-Painel de Controle'!$D$46))/1000000))</f>
        <v>22.342224119930826</v>
      </c>
      <c r="BB117" s="306">
        <f>IF('R-Definição'!$E$121="Existente",BB90+((('R&amp;C-Painel de Controle'!$D$88+'R&amp;C-Painel de Controle'!$D$89)*('R&amp;C-Painel de Controle'!$D$44+'R&amp;C-Painel de Controle'!$D$46))/1000000),BB90+((('R&amp;C-Painel de Controle'!$D$88)*('R&amp;C-Painel de Controle'!$D$44+'R&amp;C-Painel de Controle'!$D$46))/1000000))</f>
        <v>22.342224119930826</v>
      </c>
      <c r="BC117" s="306">
        <f>IF('R-Definição'!$E$121="Existente",BC90+((('R&amp;C-Painel de Controle'!$D$88+'R&amp;C-Painel de Controle'!$D$89)*('R&amp;C-Painel de Controle'!$D$44+'R&amp;C-Painel de Controle'!$D$46))/1000000),BC90+((('R&amp;C-Painel de Controle'!$D$88)*('R&amp;C-Painel de Controle'!$D$44+'R&amp;C-Painel de Controle'!$D$46))/1000000))</f>
        <v>22.342224119930826</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2.3642980000000002</v>
      </c>
      <c r="D119" s="306">
        <f>(D117+'R&amp;C-Painel de Controle'!$D$28)*(1+$C$118)</f>
        <v>2.3642980000000002</v>
      </c>
      <c r="E119" s="306">
        <f>(E117+'R&amp;C-Painel de Controle'!$D$28)*(1+$C$118)</f>
        <v>2.3642980000000002</v>
      </c>
      <c r="F119" s="306">
        <f>(F117+'R&amp;C-Painel de Controle'!$D$28)*(1+$C$118)</f>
        <v>23.342224119930826</v>
      </c>
      <c r="G119" s="306">
        <f>(G117+'R&amp;C-Painel de Controle'!$D$28)*(1+$C$118)</f>
        <v>23.342224119930826</v>
      </c>
      <c r="H119" s="306">
        <f>(H117+'R&amp;C-Painel de Controle'!$D$28)*(1+$C$118)</f>
        <v>23.342224119930826</v>
      </c>
      <c r="I119" s="306">
        <f>(I117+'R&amp;C-Painel de Controle'!$D$28)*(1+$C$118)</f>
        <v>23.342224119930826</v>
      </c>
      <c r="J119" s="306">
        <f>(J117+'R&amp;C-Painel de Controle'!$D$28)*(1+$C$118)</f>
        <v>23.342224119930826</v>
      </c>
      <c r="K119" s="306">
        <f>(K117+'R&amp;C-Painel de Controle'!$D$28)*(1+$C$118)</f>
        <v>23.342224119930826</v>
      </c>
      <c r="L119" s="306">
        <f>(L117+'R&amp;C-Painel de Controle'!$D$28)*(1+$C$118)</f>
        <v>23.342224119930826</v>
      </c>
      <c r="M119" s="306">
        <f>(M117+'R&amp;C-Painel de Controle'!$D$28)*(1+$C$118)</f>
        <v>23.342224119930826</v>
      </c>
      <c r="N119" s="306">
        <f>(N117+'R&amp;C-Painel de Controle'!$D$28)*(1+$C$118)</f>
        <v>23.342224119930826</v>
      </c>
      <c r="O119" s="306">
        <f>(O117+'R&amp;C-Painel de Controle'!$D$28)*(1+$C$118)</f>
        <v>23.342224119930826</v>
      </c>
      <c r="P119" s="306">
        <f>(P117+'R&amp;C-Painel de Controle'!$D$28)*(1+$C$118)</f>
        <v>23.342224119930826</v>
      </c>
      <c r="Q119" s="306">
        <f>(Q117+'R&amp;C-Painel de Controle'!$D$28)*(1+$C$118)</f>
        <v>23.342224119930826</v>
      </c>
      <c r="R119" s="306">
        <f>(R117+'R&amp;C-Painel de Controle'!$D$28)*(1+$C$118)</f>
        <v>23.342224119930826</v>
      </c>
      <c r="S119" s="306">
        <f>(S117+'R&amp;C-Painel de Controle'!$D$28)*(1+$C$118)</f>
        <v>23.342224119930826</v>
      </c>
      <c r="T119" s="306">
        <f>(T117+'R&amp;C-Painel de Controle'!$D$28)*(1+$C$118)</f>
        <v>23.342224119930826</v>
      </c>
      <c r="U119" s="306">
        <f>(U117+'R&amp;C-Painel de Controle'!$D$28)*(1+$C$118)</f>
        <v>23.342224119930826</v>
      </c>
      <c r="V119" s="306">
        <f>(V117+'R&amp;C-Painel de Controle'!$D$28)*(1+$C$118)</f>
        <v>23.342224119930826</v>
      </c>
      <c r="W119" s="306">
        <f>(W117+'R&amp;C-Painel de Controle'!$D$28)*(1+$C$118)</f>
        <v>23.342224119930826</v>
      </c>
      <c r="X119" s="306">
        <f>(X117+'R&amp;C-Painel de Controle'!$D$28)*(1+$C$118)</f>
        <v>23.342224119930826</v>
      </c>
      <c r="Y119" s="306">
        <f>(Y117+'R&amp;C-Painel de Controle'!$D$28)*(1+$C$118)</f>
        <v>23.342224119930826</v>
      </c>
      <c r="Z119" s="306">
        <f>(Z117+'R&amp;C-Painel de Controle'!$D$28)*(1+$C$118)</f>
        <v>23.342224119930826</v>
      </c>
      <c r="AA119" s="306">
        <f>(AA117+'R&amp;C-Painel de Controle'!$D$28)*(1+$C$118)</f>
        <v>23.342224119930826</v>
      </c>
      <c r="AB119" s="306">
        <f>(AB117+'R&amp;C-Painel de Controle'!$D$28)*(1+$C$118)</f>
        <v>23.342224119930826</v>
      </c>
      <c r="AC119" s="306">
        <f>(AC117+'R&amp;C-Painel de Controle'!$D$28)*(1+$C$118)</f>
        <v>23.342224119930826</v>
      </c>
      <c r="AD119" s="306">
        <f>(AD117+'R&amp;C-Painel de Controle'!$D$28)*(1+$C$118)</f>
        <v>23.342224119930826</v>
      </c>
      <c r="AE119" s="306">
        <f>(AE117+'R&amp;C-Painel de Controle'!$D$28)*(1+$C$118)</f>
        <v>23.342224119930826</v>
      </c>
      <c r="AF119" s="306">
        <f>(AF117+'R&amp;C-Painel de Controle'!$D$28)*(1+$C$118)</f>
        <v>23.342224119930826</v>
      </c>
      <c r="AG119" s="306">
        <f>(AG117+'R&amp;C-Painel de Controle'!$D$28)*(1+$C$118)</f>
        <v>23.342224119930826</v>
      </c>
      <c r="AH119" s="306">
        <f>(AH117+'R&amp;C-Painel de Controle'!$D$28)*(1+$C$118)</f>
        <v>23.342224119930826</v>
      </c>
      <c r="AI119" s="306">
        <f>(AI117+'R&amp;C-Painel de Controle'!$D$28)*(1+$C$118)</f>
        <v>23.342224119930826</v>
      </c>
      <c r="AJ119" s="306">
        <f>(AJ117+'R&amp;C-Painel de Controle'!$D$28)*(1+$C$118)</f>
        <v>23.342224119930826</v>
      </c>
      <c r="AK119" s="306">
        <f>(AK117+'R&amp;C-Painel de Controle'!$D$28)*(1+$C$118)</f>
        <v>23.342224119930826</v>
      </c>
      <c r="AL119" s="306">
        <f>(AL117+'R&amp;C-Painel de Controle'!$D$28)*(1+$C$118)</f>
        <v>23.342224119930826</v>
      </c>
      <c r="AM119" s="306">
        <f>(AM117+'R&amp;C-Painel de Controle'!$D$28)*(1+$C$118)</f>
        <v>23.342224119930826</v>
      </c>
      <c r="AN119" s="306">
        <f>(AN117+'R&amp;C-Painel de Controle'!$D$28)*(1+$C$118)</f>
        <v>23.342224119930826</v>
      </c>
      <c r="AO119" s="306">
        <f>(AO117+'R&amp;C-Painel de Controle'!$D$28)*(1+$C$118)</f>
        <v>23.342224119930826</v>
      </c>
      <c r="AP119" s="306">
        <f>(AP117+'R&amp;C-Painel de Controle'!$D$28)*(1+$C$118)</f>
        <v>23.342224119930826</v>
      </c>
      <c r="AQ119" s="306">
        <f>(AQ117+'R&amp;C-Painel de Controle'!$D$28)*(1+$C$118)</f>
        <v>23.342224119930826</v>
      </c>
      <c r="AR119" s="306">
        <f>(AR117+'R&amp;C-Painel de Controle'!$D$28)*(1+$C$118)</f>
        <v>23.342224119930826</v>
      </c>
      <c r="AS119" s="306">
        <f>(AS117+'R&amp;C-Painel de Controle'!$D$28)*(1+$C$118)</f>
        <v>23.342224119930826</v>
      </c>
      <c r="AT119" s="306">
        <f>(AT117+'R&amp;C-Painel de Controle'!$D$28)*(1+$C$118)</f>
        <v>23.342224119930826</v>
      </c>
      <c r="AU119" s="306">
        <f>(AU117+'R&amp;C-Painel de Controle'!$D$28)*(1+$C$118)</f>
        <v>23.342224119930826</v>
      </c>
      <c r="AV119" s="306">
        <f>(AV117+'R&amp;C-Painel de Controle'!$D$28)*(1+$C$118)</f>
        <v>23.342224119930826</v>
      </c>
      <c r="AW119" s="306">
        <f>(AW117+'R&amp;C-Painel de Controle'!$D$28)*(1+$C$118)</f>
        <v>23.342224119930826</v>
      </c>
      <c r="AX119" s="306">
        <f>(AX117+'R&amp;C-Painel de Controle'!$D$28)*(1+$C$118)</f>
        <v>23.342224119930826</v>
      </c>
      <c r="AY119" s="306">
        <f>(AY117+'R&amp;C-Painel de Controle'!$D$28)*(1+$C$118)</f>
        <v>23.342224119930826</v>
      </c>
      <c r="AZ119" s="306">
        <f>(AZ117+'R&amp;C-Painel de Controle'!$D$28)*(1+$C$118)</f>
        <v>23.342224119930826</v>
      </c>
      <c r="BA119" s="306">
        <f>(BA117+'R&amp;C-Painel de Controle'!$D$28)*(1+$C$118)</f>
        <v>23.342224119930826</v>
      </c>
      <c r="BB119" s="306">
        <f>(BB117+'R&amp;C-Painel de Controle'!$D$28)*(1+$C$118)</f>
        <v>23.342224119930826</v>
      </c>
      <c r="BC119" s="306">
        <f>(BC117+'R&amp;C-Painel de Controle'!$D$28)*(1+$C$118)</f>
        <v>23.342224119930826</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78250</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Sim</v>
      </c>
      <c r="D132" s="325">
        <f>D101</f>
        <v>79707.40625</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2.6955624768081048</v>
      </c>
      <c r="G134" s="334">
        <f>IF(G48&gt;0,'R&amp;C-Painel de Controle'!$O$62*(1-0.0925)*G35/1000000,0)</f>
        <v>2.7082316204491024</v>
      </c>
      <c r="H134" s="334">
        <f>IF(H48&gt;0,'R&amp;C-Painel de Controle'!$O$62*(1-0.0925)*H35/1000000,0)</f>
        <v>2.7209603090652132</v>
      </c>
      <c r="I134" s="334">
        <f>IF(I48&gt;0,'R&amp;C-Painel de Controle'!$O$62*(1-0.0925)*I35/1000000,0)</f>
        <v>2.7337488225178199</v>
      </c>
      <c r="J134" s="334">
        <f>IF(J48&gt;0,'R&amp;C-Painel de Controle'!$O$62*(1-0.0925)*J35/1000000,0)</f>
        <v>2.7465974419836532</v>
      </c>
      <c r="K134" s="334">
        <f>IF(K48&gt;0,'R&amp;C-Painel de Controle'!$O$62*(1-0.0925)*K35/1000000,0)</f>
        <v>2.7595064499609765</v>
      </c>
      <c r="L134" s="334">
        <f>IF(L48&gt;0,'R&amp;C-Painel de Controle'!$O$62*(1-0.0925)*L35/1000000,0)</f>
        <v>2.7724761302757925</v>
      </c>
      <c r="M134" s="334">
        <f>IF(M48&gt;0,'R&amp;C-Painel de Controle'!$O$62*(1-0.0925)*M35/1000000,0)</f>
        <v>2.7855067680880885</v>
      </c>
      <c r="N134" s="334">
        <f>IF(N48&gt;0,'R&amp;C-Painel de Controle'!$O$62*(1-0.0925)*N35/1000000,0)</f>
        <v>2.7985986498981021</v>
      </c>
      <c r="O134" s="334">
        <f>IF(O48&gt;0,'R&amp;C-Painel de Controle'!$O$62*(1-0.0925)*O35/1000000,0)</f>
        <v>2.8117520635526225</v>
      </c>
      <c r="P134" s="334">
        <f>IF(P48&gt;0,'R&amp;C-Painel de Controle'!$O$62*(1-0.0925)*P35/1000000,0)</f>
        <v>2.8249672982513201</v>
      </c>
      <c r="Q134" s="334">
        <f>IF(Q48&gt;0,'R&amp;C-Painel de Controle'!$O$62*(1-0.0925)*Q35/1000000,0)</f>
        <v>2.8382446445531007</v>
      </c>
      <c r="R134" s="334">
        <f>IF(R48&gt;0,'R&amp;C-Painel de Controle'!$O$62*(1-0.0925)*R35/1000000,0)</f>
        <v>2.8515843943824999</v>
      </c>
      <c r="S134" s="334">
        <f>IF(S48&gt;0,'R&amp;C-Painel de Controle'!$O$62*(1-0.0925)*S35/1000000,0)</f>
        <v>2.8649868410360981</v>
      </c>
      <c r="T134" s="334">
        <f>IF(T48&gt;0,'R&amp;C-Painel de Controle'!$O$62*(1-0.0925)*T35/1000000,0)</f>
        <v>2.8784522791889673</v>
      </c>
      <c r="U134" s="334">
        <f>IF(U48&gt;0,'R&amp;C-Painel de Controle'!$O$62*(1-0.0925)*U35/1000000,0)</f>
        <v>2.8919810049011554</v>
      </c>
      <c r="V134" s="334">
        <f>IF(V48&gt;0,'R&amp;C-Painel de Controle'!$O$62*(1-0.0925)*V35/1000000,0)</f>
        <v>2.9055733156241903</v>
      </c>
      <c r="W134" s="334">
        <f>IF(W48&gt;0,'R&amp;C-Painel de Controle'!$O$62*(1-0.0925)*W35/1000000,0)</f>
        <v>2.9192295102076238</v>
      </c>
      <c r="X134" s="334">
        <f>IF(X48&gt;0,'R&amp;C-Painel de Controle'!$O$62*(1-0.0925)*X35/1000000,0)</f>
        <v>2.9329498889055992</v>
      </c>
      <c r="Y134" s="334">
        <f>IF(Y48&gt;0,'R&amp;C-Painel de Controle'!$O$62*(1-0.0925)*Y35/1000000,0)</f>
        <v>2.9467347533834558</v>
      </c>
      <c r="Z134" s="334">
        <f>IF(Z48&gt;0,'R&amp;C-Painel de Controle'!$O$62*(1-0.0925)*Z35/1000000,0)</f>
        <v>2.9605844067243576</v>
      </c>
      <c r="AA134" s="334">
        <f>IF(AA48&gt;0,'R&amp;C-Painel de Controle'!$O$62*(1-0.0925)*AA35/1000000,0)</f>
        <v>2.9744991534359619</v>
      </c>
      <c r="AB134" s="334">
        <f>IF(AB48&gt;0,'R&amp;C-Painel de Controle'!$O$62*(1-0.0925)*AB35/1000000,0)</f>
        <v>2.988479299457111</v>
      </c>
      <c r="AC134" s="334">
        <f>IF(AC48&gt;0,'R&amp;C-Painel de Controle'!$O$62*(1-0.0925)*AC35/1000000,0)</f>
        <v>3.0025251521645595</v>
      </c>
      <c r="AD134" s="334">
        <f>IF(AD48&gt;0,'R&amp;C-Painel de Controle'!$O$62*(1-0.0925)*AD35/1000000,0)</f>
        <v>3.0166370203797324</v>
      </c>
      <c r="AE134" s="334">
        <f>IF(AE48&gt;0,'R&amp;C-Painel de Controle'!$O$62*(1-0.0925)*AE35/1000000,0)</f>
        <v>3.0308152143755169</v>
      </c>
      <c r="AF134" s="334">
        <f>IF(AF48&gt;0,'R&amp;C-Painel de Controle'!$O$62*(1-0.0925)*AF35/1000000,0)</f>
        <v>3.0450600458830817</v>
      </c>
      <c r="AG134" s="334">
        <f>IF(AG48&gt;0,'R&amp;C-Painel de Controle'!$O$62*(1-0.0925)*AG35/1000000,0)</f>
        <v>3.0593718280987319</v>
      </c>
      <c r="AH134" s="334">
        <f>IF(AH48&gt;0,'R&amp;C-Painel de Controle'!$O$62*(1-0.0925)*AH35/1000000,0)</f>
        <v>3.0737508756907954</v>
      </c>
      <c r="AI134" s="334">
        <f>IF(AI48&gt;0,'R&amp;C-Painel de Controle'!$O$62*(1-0.0925)*AI35/1000000,0)</f>
        <v>3.0881975048065424</v>
      </c>
      <c r="AJ134" s="334">
        <f>IF(AJ48&gt;0,'R&amp;C-Painel de Controle'!$O$62*(1-0.0925)*AJ35/1000000,0)</f>
        <v>3.1027120330791322</v>
      </c>
      <c r="AK134" s="334">
        <f>IF(AK48&gt;0,'R&amp;C-Painel de Controle'!$O$62*(1-0.0925)*AK35/1000000,0)</f>
        <v>3.1172947796346042</v>
      </c>
      <c r="AL134" s="334">
        <f>IF(AL48&gt;0,'R&amp;C-Painel de Controle'!$O$62*(1-0.0925)*AL35/1000000,0)</f>
        <v>3.1319460650988868</v>
      </c>
      <c r="AM134" s="334">
        <f>IF(AM48&gt;0,'R&amp;C-Painel de Controle'!$O$62*(1-0.0925)*AM35/1000000,0)</f>
        <v>3.1466662116048512</v>
      </c>
      <c r="AN134" s="334">
        <f>IF(AN48&gt;0,'R&amp;C-Painel de Controle'!$O$62*(1-0.0925)*AN35/1000000,0)</f>
        <v>3.161455542799394</v>
      </c>
      <c r="AO134" s="334">
        <f>IF(AO48&gt;0,'R&amp;C-Painel de Controle'!$O$62*(1-0.0925)*AO35/1000000,0)</f>
        <v>3.1763143838505514</v>
      </c>
      <c r="AP134" s="334">
        <f>IF(AP48&gt;0,'R&amp;C-Painel de Controle'!$O$62*(1-0.0925)*AP35/1000000,0)</f>
        <v>3.1912430614546485</v>
      </c>
      <c r="AQ134" s="334">
        <f>IF(AQ48&gt;0,'R&amp;C-Painel de Controle'!$O$62*(1-0.0925)*AQ35/1000000,0)</f>
        <v>3.2062419038434853</v>
      </c>
      <c r="AR134" s="334">
        <f>IF(AR48&gt;0,'R&amp;C-Painel de Controle'!$O$62*(1-0.0925)*AR35/1000000,0)</f>
        <v>3.221311240791549</v>
      </c>
      <c r="AS134" s="334">
        <f>IF(AS48&gt;0,'R&amp;C-Painel de Controle'!$O$62*(1-0.0925)*AS35/1000000,0)</f>
        <v>3.2364514036232688</v>
      </c>
      <c r="AT134" s="334">
        <f>IF(AT48&gt;0,'R&amp;C-Painel de Controle'!$O$62*(1-0.0925)*AT35/1000000,0)</f>
        <v>3.2516627252202985</v>
      </c>
      <c r="AU134" s="334">
        <f>IF(AU48&gt;0,'R&amp;C-Painel de Controle'!$O$62*(1-0.0925)*AU35/1000000,0)</f>
        <v>3.2669455400288334</v>
      </c>
      <c r="AV134" s="334">
        <f>IF(AV48&gt;0,'R&amp;C-Painel de Controle'!$O$62*(1-0.0925)*AV35/1000000,0)</f>
        <v>3.2823001840669686</v>
      </c>
      <c r="AW134" s="334">
        <f>IF(AW48&gt;0,'R&amp;C-Painel de Controle'!$O$62*(1-0.0925)*AW35/1000000,0)</f>
        <v>3.2977269949320833</v>
      </c>
      <c r="AX134" s="334">
        <f>IF(AX48&gt;0,'R&amp;C-Painel de Controle'!$O$62*(1-0.0925)*AX35/1000000,0)</f>
        <v>3.3132263118082634</v>
      </c>
      <c r="AY134" s="334">
        <f>IF(AY48&gt;0,'R&amp;C-Painel de Controle'!$O$62*(1-0.0925)*AY35/1000000,0)</f>
        <v>3.3287984754737621</v>
      </c>
      <c r="AZ134" s="334">
        <f>IF(AZ48&gt;0,'R&amp;C-Painel de Controle'!$O$62*(1-0.0925)*AZ35/1000000,0)</f>
        <v>3.3444438283084881</v>
      </c>
      <c r="BA134" s="334">
        <f>IF(BA48&gt;0,'R&amp;C-Painel de Controle'!$O$62*(1-0.0925)*BA35/1000000,0)</f>
        <v>3.3601627143015378</v>
      </c>
      <c r="BB134" s="334">
        <f>IF(BB48&gt;0,'R&amp;C-Painel de Controle'!$O$62*(1-0.0925)*BB35/1000000,0)</f>
        <v>3.3759554790587547</v>
      </c>
      <c r="BC134" s="334">
        <f>IF(BC48&gt;0,'R&amp;C-Painel de Controle'!$O$62*(1-0.0925)*BC35/1000000,0)</f>
        <v>3.3918224698103301</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46153.415000000001</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21.5006384038068</v>
      </c>
      <c r="D148" s="306">
        <f t="shared" si="51"/>
        <v>21.601691404304692</v>
      </c>
      <c r="E148" s="306">
        <f t="shared" si="51"/>
        <v>21.70321935390492</v>
      </c>
      <c r="F148" s="306">
        <f t="shared" si="51"/>
        <v>21.805224484868273</v>
      </c>
      <c r="G148" s="306">
        <f t="shared" si="51"/>
        <v>21.907709039947157</v>
      </c>
      <c r="H148" s="306">
        <f t="shared" si="51"/>
        <v>22.010675272434906</v>
      </c>
      <c r="I148" s="306">
        <f t="shared" si="51"/>
        <v>22.11412544621535</v>
      </c>
      <c r="J148" s="306">
        <f t="shared" si="51"/>
        <v>22.218061835812559</v>
      </c>
      <c r="K148" s="306">
        <f t="shared" si="51"/>
        <v>22.322486726440875</v>
      </c>
      <c r="L148" s="306">
        <f t="shared" si="51"/>
        <v>22.427402414055148</v>
      </c>
      <c r="M148" s="306">
        <f t="shared" si="51"/>
        <v>22.532811205401206</v>
      </c>
      <c r="N148" s="306">
        <f t="shared" si="51"/>
        <v>22.638715418066589</v>
      </c>
      <c r="O148" s="306">
        <f t="shared" si="51"/>
        <v>22.745117380531493</v>
      </c>
      <c r="P148" s="306">
        <f t="shared" si="51"/>
        <v>22.852019432219993</v>
      </c>
      <c r="Q148" s="306">
        <f t="shared" si="51"/>
        <v>22.959423923551427</v>
      </c>
      <c r="R148" s="306">
        <f t="shared" si="51"/>
        <v>23.067333215992118</v>
      </c>
      <c r="S148" s="306">
        <f t="shared" si="51"/>
        <v>23.175749682107277</v>
      </c>
      <c r="T148" s="306">
        <f t="shared" si="51"/>
        <v>23.284675705613182</v>
      </c>
      <c r="U148" s="306">
        <f t="shared" si="51"/>
        <v>23.394113681429559</v>
      </c>
      <c r="V148" s="306">
        <f t="shared" si="51"/>
        <v>23.504066015732278</v>
      </c>
      <c r="W148" s="306">
        <f t="shared" si="51"/>
        <v>23.614535126006217</v>
      </c>
      <c r="X148" s="306">
        <f t="shared" si="51"/>
        <v>23.725523441098442</v>
      </c>
      <c r="Y148" s="306">
        <f t="shared" si="51"/>
        <v>23.837033401271608</v>
      </c>
      <c r="Z148" s="306">
        <f t="shared" si="51"/>
        <v>23.949067458257581</v>
      </c>
      <c r="AA148" s="306">
        <f t="shared" si="51"/>
        <v>24.06162807531139</v>
      </c>
      <c r="AB148" s="306">
        <f t="shared" si="51"/>
        <v>24.174717727265353</v>
      </c>
      <c r="AC148" s="306">
        <f t="shared" si="51"/>
        <v>24.288338900583497</v>
      </c>
      <c r="AD148" s="306">
        <f t="shared" si="51"/>
        <v>24.402494093416241</v>
      </c>
      <c r="AE148" s="306">
        <f t="shared" si="51"/>
        <v>24.517185815655292</v>
      </c>
      <c r="AF148" s="306">
        <f t="shared" si="51"/>
        <v>24.632416588988871</v>
      </c>
      <c r="AG148" s="306">
        <f t="shared" si="51"/>
        <v>24.748188946957118</v>
      </c>
      <c r="AH148" s="306">
        <f t="shared" si="51"/>
        <v>24.864505435007814</v>
      </c>
      <c r="AI148" s="306">
        <f t="shared" ref="AI148:BC148" si="52">AI35*$H$26*(1-0.0925-$C$10)/1000000+AI149</f>
        <v>24.981368610552348</v>
      </c>
      <c r="AJ148" s="306">
        <f t="shared" si="52"/>
        <v>25.098781043021944</v>
      </c>
      <c r="AK148" s="306">
        <f t="shared" si="52"/>
        <v>25.216745313924143</v>
      </c>
      <c r="AL148" s="306">
        <f t="shared" si="52"/>
        <v>25.33526401689959</v>
      </c>
      <c r="AM148" s="306">
        <f t="shared" si="52"/>
        <v>25.45433975777901</v>
      </c>
      <c r="AN148" s="306">
        <f t="shared" si="52"/>
        <v>25.573975154640571</v>
      </c>
      <c r="AO148" s="306">
        <f t="shared" si="52"/>
        <v>25.694172837867384</v>
      </c>
      <c r="AP148" s="306">
        <f t="shared" si="52"/>
        <v>25.814935450205358</v>
      </c>
      <c r="AQ148" s="306">
        <f t="shared" si="52"/>
        <v>25.936265646821322</v>
      </c>
      <c r="AR148" s="306">
        <f t="shared" si="52"/>
        <v>26.058166095361376</v>
      </c>
      <c r="AS148" s="306">
        <f t="shared" si="52"/>
        <v>26.180639476009574</v>
      </c>
      <c r="AT148" s="306">
        <f t="shared" si="52"/>
        <v>26.303688481546818</v>
      </c>
      <c r="AU148" s="306">
        <f t="shared" si="52"/>
        <v>26.427315817410086</v>
      </c>
      <c r="AV148" s="306">
        <f t="shared" si="52"/>
        <v>26.55152420175191</v>
      </c>
      <c r="AW148" s="306">
        <f t="shared" si="52"/>
        <v>26.676316365500146</v>
      </c>
      <c r="AX148" s="306">
        <f t="shared" si="52"/>
        <v>26.80169505241799</v>
      </c>
      <c r="AY148" s="306">
        <f t="shared" si="52"/>
        <v>26.927663019164353</v>
      </c>
      <c r="AZ148" s="306">
        <f t="shared" si="52"/>
        <v>27.054223035354422</v>
      </c>
      <c r="BA148" s="306">
        <f t="shared" si="52"/>
        <v>27.181377883620584</v>
      </c>
      <c r="BB148" s="306">
        <f t="shared" si="52"/>
        <v>27.309130359673599</v>
      </c>
      <c r="BC148" s="306">
        <f t="shared" si="52"/>
        <v>27.437483272364066</v>
      </c>
    </row>
    <row r="149" spans="2:58" s="206" customFormat="1" ht="16.95" customHeight="1" x14ac:dyDescent="0.3">
      <c r="B149" s="206" t="s">
        <v>991</v>
      </c>
      <c r="C149" s="306">
        <f>'R&amp;C-Painel de Controle'!D31*312*'R&amp;C-Painel de Controle'!H31*(1-0.0925-$C$10)/1000000</f>
        <v>1.90708260458312</v>
      </c>
      <c r="D149" s="306">
        <f>C149*(1+'R&amp;C-Painel de Controle'!$D$27)</f>
        <v>1.9160458928246604</v>
      </c>
      <c r="E149" s="306">
        <f>D149*(1+'R&amp;C-Painel de Controle'!$D$27)</f>
        <v>1.9250513085209362</v>
      </c>
      <c r="F149" s="306">
        <f>E149*(1+'R&amp;C-Painel de Controle'!$D$27)</f>
        <v>1.9340990496709844</v>
      </c>
      <c r="G149" s="306">
        <f>F149*(1+'R&amp;C-Painel de Controle'!$D$27)</f>
        <v>1.9431893152044379</v>
      </c>
      <c r="H149" s="306">
        <f>G149*(1+'R&amp;C-Painel de Controle'!$D$27)</f>
        <v>1.9523223049858986</v>
      </c>
      <c r="I149" s="306">
        <f>H149*(1+'R&amp;C-Painel de Controle'!$D$27)</f>
        <v>1.9614982198193323</v>
      </c>
      <c r="J149" s="306">
        <f>I149*(1+'R&amp;C-Painel de Controle'!$D$27)</f>
        <v>1.970717261452483</v>
      </c>
      <c r="K149" s="306">
        <f>J149*(1+'R&amp;C-Painel de Controle'!$D$27)</f>
        <v>1.9799796325813095</v>
      </c>
      <c r="L149" s="306">
        <f>K149*(1+'R&amp;C-Painel de Controle'!$D$27)</f>
        <v>1.9892855368544415</v>
      </c>
      <c r="M149" s="306">
        <f>L149*(1+'R&amp;C-Painel de Controle'!$D$27)</f>
        <v>1.9986351788776573</v>
      </c>
      <c r="N149" s="306">
        <f>M149*(1+'R&amp;C-Painel de Controle'!$D$27)</f>
        <v>2.0080287642183823</v>
      </c>
      <c r="O149" s="306">
        <f>N149*(1+'R&amp;C-Painel de Controle'!$D$27)</f>
        <v>2.0174664994102085</v>
      </c>
      <c r="P149" s="306">
        <f>O149*(1+'R&amp;C-Painel de Controle'!$D$27)</f>
        <v>2.0269485919574364</v>
      </c>
      <c r="Q149" s="306">
        <f>P149*(1+'R&amp;C-Painel de Controle'!$D$27)</f>
        <v>2.0364752503396364</v>
      </c>
      <c r="R149" s="306">
        <f>Q149*(1+'R&amp;C-Painel de Controle'!$D$27)</f>
        <v>2.0460466840162326</v>
      </c>
      <c r="S149" s="306">
        <f>R149*(1+'R&amp;C-Painel de Controle'!$D$27)</f>
        <v>2.0556631034311086</v>
      </c>
      <c r="T149" s="306">
        <f>S149*(1+'R&amp;C-Painel de Controle'!$D$27)</f>
        <v>2.0653247200172347</v>
      </c>
      <c r="U149" s="306">
        <f>T149*(1+'R&amp;C-Painel de Controle'!$D$27)</f>
        <v>2.0750317462013155</v>
      </c>
      <c r="V149" s="306">
        <f>U149*(1+'R&amp;C-Painel de Controle'!$D$27)</f>
        <v>2.0847843954084615</v>
      </c>
      <c r="W149" s="306">
        <f>V149*(1+'R&amp;C-Painel de Controle'!$D$27)</f>
        <v>2.0945828820668813</v>
      </c>
      <c r="X149" s="306">
        <f>W149*(1+'R&amp;C-Painel de Controle'!$D$27)</f>
        <v>2.1044274216125953</v>
      </c>
      <c r="Y149" s="306">
        <f>X149*(1+'R&amp;C-Painel de Controle'!$D$27)</f>
        <v>2.1143182304941743</v>
      </c>
      <c r="Z149" s="306">
        <f>Y149*(1+'R&amp;C-Painel de Controle'!$D$27)</f>
        <v>2.1242555261774969</v>
      </c>
      <c r="AA149" s="306">
        <f>Z149*(1+'R&amp;C-Painel de Controle'!$D$27)</f>
        <v>2.1342395271505308</v>
      </c>
      <c r="AB149" s="306">
        <f>AA149*(1+'R&amp;C-Painel de Controle'!$D$27)</f>
        <v>2.1442704529281382</v>
      </c>
      <c r="AC149" s="306">
        <f>AB149*(1+'R&amp;C-Painel de Controle'!$D$27)</f>
        <v>2.1543485240569002</v>
      </c>
      <c r="AD149" s="306">
        <f>AC149*(1+'R&amp;C-Painel de Controle'!$D$27)</f>
        <v>2.1644739621199673</v>
      </c>
      <c r="AE149" s="306">
        <f>AD149*(1+'R&amp;C-Painel de Controle'!$D$27)</f>
        <v>2.1746469897419312</v>
      </c>
      <c r="AF149" s="306">
        <f>AE149*(1+'R&amp;C-Painel de Controle'!$D$27)</f>
        <v>2.1848678305937179</v>
      </c>
      <c r="AG149" s="306">
        <f>AF149*(1+'R&amp;C-Painel de Controle'!$D$27)</f>
        <v>2.195136709397508</v>
      </c>
      <c r="AH149" s="306">
        <f>AG149*(1+'R&amp;C-Painel de Controle'!$D$27)</f>
        <v>2.2054538519316762</v>
      </c>
      <c r="AI149" s="306">
        <f>AH149*(1+'R&amp;C-Painel de Controle'!$D$27)</f>
        <v>2.2158194850357549</v>
      </c>
      <c r="AJ149" s="306">
        <f>AI149*(1+'R&amp;C-Painel de Controle'!$D$27)</f>
        <v>2.2262338366154228</v>
      </c>
      <c r="AK149" s="306">
        <f>AJ149*(1+'R&amp;C-Painel de Controle'!$D$27)</f>
        <v>2.2366971356475154</v>
      </c>
      <c r="AL149" s="306">
        <f>AK149*(1+'R&amp;C-Painel de Controle'!$D$27)</f>
        <v>2.2472096121850584</v>
      </c>
      <c r="AM149" s="306">
        <f>AL149*(1+'R&amp;C-Painel de Controle'!$D$27)</f>
        <v>2.2577714973623282</v>
      </c>
      <c r="AN149" s="306">
        <f>AM149*(1+'R&amp;C-Painel de Controle'!$D$27)</f>
        <v>2.2683830233999309</v>
      </c>
      <c r="AO149" s="306">
        <f>AN149*(1+'R&amp;C-Painel de Controle'!$D$27)</f>
        <v>2.2790444236099106</v>
      </c>
      <c r="AP149" s="306">
        <f>AO149*(1+'R&amp;C-Painel de Controle'!$D$27)</f>
        <v>2.2897559324008769</v>
      </c>
      <c r="AQ149" s="306">
        <f>AP149*(1+'R&amp;C-Painel de Controle'!$D$27)</f>
        <v>2.3005177852831609</v>
      </c>
      <c r="AR149" s="306">
        <f>AQ149*(1+'R&amp;C-Painel de Controle'!$D$27)</f>
        <v>2.3113302188739917</v>
      </c>
      <c r="AS149" s="306">
        <f>AR149*(1+'R&amp;C-Painel de Controle'!$D$27)</f>
        <v>2.3221934709026995</v>
      </c>
      <c r="AT149" s="306">
        <f>AS149*(1+'R&amp;C-Painel de Controle'!$D$27)</f>
        <v>2.3331077802159421</v>
      </c>
      <c r="AU149" s="306">
        <f>AT149*(1+'R&amp;C-Painel de Controle'!$D$27)</f>
        <v>2.3440733867829571</v>
      </c>
      <c r="AV149" s="306">
        <f>AU149*(1+'R&amp;C-Painel de Controle'!$D$27)</f>
        <v>2.3550905317008368</v>
      </c>
      <c r="AW149" s="306">
        <f>AV149*(1+'R&amp;C-Painel de Controle'!$D$27)</f>
        <v>2.3661594571998306</v>
      </c>
      <c r="AX149" s="306">
        <f>AW149*(1+'R&amp;C-Painel de Controle'!$D$27)</f>
        <v>2.3772804066486697</v>
      </c>
      <c r="AY149" s="306">
        <f>AX149*(1+'R&amp;C-Painel de Controle'!$D$27)</f>
        <v>2.3884536245599182</v>
      </c>
      <c r="AZ149" s="306">
        <f>AY149*(1+'R&amp;C-Painel de Controle'!$D$27)</f>
        <v>2.3996793565953496</v>
      </c>
      <c r="BA149" s="306">
        <f>AZ149*(1+'R&amp;C-Painel de Controle'!$D$27)</f>
        <v>2.4109578495713477</v>
      </c>
      <c r="BB149" s="306">
        <f>BA149*(1+'R&amp;C-Painel de Controle'!$D$27)</f>
        <v>2.4222893514643329</v>
      </c>
      <c r="BC149" s="306">
        <f>BB149*(1+'R&amp;C-Painel de Controle'!$D$27)</f>
        <v>2.4336741114162153</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19.136340403806798</v>
      </c>
      <c r="D151" s="307">
        <f t="shared" si="53"/>
        <v>19.23739340430469</v>
      </c>
      <c r="E151" s="307">
        <f t="shared" si="53"/>
        <v>19.338921353904919</v>
      </c>
      <c r="F151" s="307">
        <f t="shared" si="53"/>
        <v>-1.5369996350625534</v>
      </c>
      <c r="G151" s="307">
        <f t="shared" si="53"/>
        <v>-1.4345150799836688</v>
      </c>
      <c r="H151" s="307">
        <f t="shared" si="53"/>
        <v>-1.3315488474959203</v>
      </c>
      <c r="I151" s="307">
        <f t="shared" si="53"/>
        <v>-1.2280986737154755</v>
      </c>
      <c r="J151" s="307">
        <f t="shared" si="53"/>
        <v>-1.1241622841182668</v>
      </c>
      <c r="K151" s="307">
        <f t="shared" si="53"/>
        <v>-1.019737393489951</v>
      </c>
      <c r="L151" s="307">
        <f t="shared" si="53"/>
        <v>-0.91482170587567779</v>
      </c>
      <c r="M151" s="307">
        <f t="shared" si="53"/>
        <v>-0.80941291452962005</v>
      </c>
      <c r="N151" s="307">
        <f t="shared" si="53"/>
        <v>-0.7035087018642372</v>
      </c>
      <c r="O151" s="307">
        <f t="shared" si="53"/>
        <v>-0.59710673939933301</v>
      </c>
      <c r="P151" s="307">
        <f t="shared" si="53"/>
        <v>-0.49020468771083259</v>
      </c>
      <c r="Q151" s="307">
        <f t="shared" si="53"/>
        <v>-0.38280019637939944</v>
      </c>
      <c r="R151" s="307">
        <f t="shared" si="53"/>
        <v>-0.27489090393870796</v>
      </c>
      <c r="S151" s="307">
        <f t="shared" si="53"/>
        <v>-0.16647443782354898</v>
      </c>
      <c r="T151" s="307">
        <f t="shared" si="53"/>
        <v>-5.7548414317643903E-2</v>
      </c>
      <c r="U151" s="307">
        <f t="shared" si="53"/>
        <v>5.1889561498732917E-2</v>
      </c>
      <c r="V151" s="307">
        <f t="shared" si="53"/>
        <v>0.16184189580145159</v>
      </c>
      <c r="W151" s="307">
        <f t="shared" si="53"/>
        <v>0.27231100607539105</v>
      </c>
      <c r="X151" s="307">
        <f t="shared" si="53"/>
        <v>0.38329932116761611</v>
      </c>
      <c r="Y151" s="307">
        <f t="shared" si="53"/>
        <v>0.49480928134078184</v>
      </c>
      <c r="Z151" s="307">
        <f t="shared" si="53"/>
        <v>0.60684333832675463</v>
      </c>
      <c r="AA151" s="307">
        <f t="shared" si="53"/>
        <v>0.71940395538056379</v>
      </c>
      <c r="AB151" s="307">
        <f t="shared" si="53"/>
        <v>0.83249360733452704</v>
      </c>
      <c r="AC151" s="307">
        <f t="shared" si="53"/>
        <v>0.94611478065267107</v>
      </c>
      <c r="AD151" s="307">
        <f t="shared" si="53"/>
        <v>1.0602699734854149</v>
      </c>
      <c r="AE151" s="307">
        <f t="shared" si="53"/>
        <v>1.1749616957244662</v>
      </c>
      <c r="AF151" s="307">
        <f t="shared" si="53"/>
        <v>1.2901924690580451</v>
      </c>
      <c r="AG151" s="307">
        <f t="shared" si="53"/>
        <v>1.4059648270262919</v>
      </c>
      <c r="AH151" s="307">
        <f t="shared" si="53"/>
        <v>1.5222813150769881</v>
      </c>
      <c r="AI151" s="307">
        <f t="shared" si="53"/>
        <v>1.639144490621522</v>
      </c>
      <c r="AJ151" s="307">
        <f t="shared" si="53"/>
        <v>1.756556923091118</v>
      </c>
      <c r="AK151" s="307">
        <f t="shared" si="53"/>
        <v>1.8745211939933171</v>
      </c>
      <c r="AL151" s="307">
        <f t="shared" si="53"/>
        <v>1.9930398969687637</v>
      </c>
      <c r="AM151" s="307">
        <f t="shared" si="53"/>
        <v>2.1121156378481842</v>
      </c>
      <c r="AN151" s="307">
        <f t="shared" si="53"/>
        <v>2.2317510347097453</v>
      </c>
      <c r="AO151" s="307">
        <f t="shared" si="53"/>
        <v>2.3519487179365584</v>
      </c>
      <c r="AP151" s="307">
        <f t="shared" si="53"/>
        <v>2.4727113302745316</v>
      </c>
      <c r="AQ151" s="307">
        <f t="shared" si="53"/>
        <v>2.5940415268904964</v>
      </c>
      <c r="AR151" s="307">
        <f t="shared" si="53"/>
        <v>2.7159419754305496</v>
      </c>
      <c r="AS151" s="307">
        <f t="shared" si="53"/>
        <v>2.8384153560787482</v>
      </c>
      <c r="AT151" s="307">
        <f t="shared" si="53"/>
        <v>2.9614643616159917</v>
      </c>
      <c r="AU151" s="307">
        <f t="shared" si="53"/>
        <v>3.0850916974792604</v>
      </c>
      <c r="AV151" s="307">
        <f t="shared" si="53"/>
        <v>3.2093000818210839</v>
      </c>
      <c r="AW151" s="307">
        <f t="shared" si="53"/>
        <v>3.3340922455693196</v>
      </c>
      <c r="AX151" s="307">
        <f t="shared" si="53"/>
        <v>3.4594709324871644</v>
      </c>
      <c r="AY151" s="307">
        <f t="shared" si="53"/>
        <v>3.5854388992335267</v>
      </c>
      <c r="AZ151" s="307">
        <f t="shared" si="53"/>
        <v>3.7119989154235959</v>
      </c>
      <c r="BA151" s="307">
        <f t="shared" si="53"/>
        <v>3.8391537636897581</v>
      </c>
      <c r="BB151" s="307">
        <f t="shared" si="53"/>
        <v>3.966906239742773</v>
      </c>
      <c r="BC151" s="307">
        <f t="shared" si="53"/>
        <v>4.0952591524332398</v>
      </c>
    </row>
    <row r="152" spans="2:58" s="206" customFormat="1" ht="16.95" customHeight="1" outlineLevel="1" x14ac:dyDescent="0.3">
      <c r="B152" s="206" t="s">
        <v>413</v>
      </c>
      <c r="C152" s="307">
        <f>C63</f>
        <v>56.962239813269335</v>
      </c>
      <c r="D152" s="307">
        <f>IF(SUM($C$152:C152)&lt;'R&amp;C-Painel de Controle'!$H$24,D63,0)</f>
        <v>85.704816492212032</v>
      </c>
      <c r="E152" s="307">
        <f>IF(SUM($C$152:D152)&lt;'R&amp;C-Painel de Controle'!$H$24,E63,0)</f>
        <v>79.652584247251326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-37.825899409462536</v>
      </c>
      <c r="D153" s="307">
        <f t="shared" si="54"/>
        <v>-66.467423087907349</v>
      </c>
      <c r="E153" s="307">
        <f t="shared" si="54"/>
        <v>-60.313662893346404</v>
      </c>
      <c r="F153" s="307">
        <f t="shared" si="54"/>
        <v>-1.5369996350625534</v>
      </c>
      <c r="G153" s="307">
        <f t="shared" si="54"/>
        <v>-1.4345150799836688</v>
      </c>
      <c r="H153" s="307">
        <f t="shared" si="54"/>
        <v>-1.3315488474959203</v>
      </c>
      <c r="I153" s="307">
        <f t="shared" si="54"/>
        <v>-1.2280986737154755</v>
      </c>
      <c r="J153" s="307">
        <f t="shared" si="54"/>
        <v>-1.1241622841182668</v>
      </c>
      <c r="K153" s="307">
        <f t="shared" si="54"/>
        <v>-1.019737393489951</v>
      </c>
      <c r="L153" s="307">
        <f t="shared" si="54"/>
        <v>-0.91482170587567779</v>
      </c>
      <c r="M153" s="307">
        <f t="shared" si="54"/>
        <v>-0.80941291452962005</v>
      </c>
      <c r="N153" s="307">
        <f t="shared" si="54"/>
        <v>-0.7035087018642372</v>
      </c>
      <c r="O153" s="307">
        <f t="shared" si="54"/>
        <v>-0.59710673939933301</v>
      </c>
      <c r="P153" s="307">
        <f t="shared" si="54"/>
        <v>-0.49020468771083259</v>
      </c>
      <c r="Q153" s="307">
        <f t="shared" si="54"/>
        <v>-0.38280019637939944</v>
      </c>
      <c r="R153" s="307">
        <f t="shared" si="54"/>
        <v>-0.27489090393870796</v>
      </c>
      <c r="S153" s="307">
        <f t="shared" si="54"/>
        <v>-0.16647443782354898</v>
      </c>
      <c r="T153" s="307">
        <f t="shared" si="54"/>
        <v>-5.7548414317643903E-2</v>
      </c>
      <c r="U153" s="307">
        <f t="shared" si="54"/>
        <v>5.1889561498732917E-2</v>
      </c>
      <c r="V153" s="307">
        <f t="shared" si="54"/>
        <v>0.16184189580145159</v>
      </c>
      <c r="W153" s="307">
        <f t="shared" si="54"/>
        <v>0.27231100607539105</v>
      </c>
      <c r="X153" s="307">
        <f t="shared" si="54"/>
        <v>0.38329932116761611</v>
      </c>
      <c r="Y153" s="307">
        <f t="shared" si="54"/>
        <v>0.49480928134078184</v>
      </c>
      <c r="Z153" s="307">
        <f t="shared" si="54"/>
        <v>0.60684333832675463</v>
      </c>
      <c r="AA153" s="307">
        <f t="shared" si="54"/>
        <v>0.71940395538056379</v>
      </c>
      <c r="AB153" s="307">
        <f t="shared" si="54"/>
        <v>0.83249360733452704</v>
      </c>
      <c r="AC153" s="307">
        <f t="shared" si="54"/>
        <v>0.94611478065267107</v>
      </c>
      <c r="AD153" s="307">
        <f t="shared" si="54"/>
        <v>1.0602699734854149</v>
      </c>
      <c r="AE153" s="307">
        <f t="shared" si="54"/>
        <v>1.1749616957244662</v>
      </c>
      <c r="AF153" s="307">
        <f t="shared" si="54"/>
        <v>1.2901924690580451</v>
      </c>
      <c r="AG153" s="307">
        <f t="shared" si="54"/>
        <v>1.4059648270262919</v>
      </c>
      <c r="AH153" s="307">
        <f t="shared" si="54"/>
        <v>1.5222813150769881</v>
      </c>
      <c r="AI153" s="307">
        <f t="shared" si="54"/>
        <v>1.639144490621522</v>
      </c>
      <c r="AJ153" s="307">
        <f t="shared" si="54"/>
        <v>1.756556923091118</v>
      </c>
      <c r="AK153" s="307">
        <f t="shared" si="54"/>
        <v>1.8745211939933171</v>
      </c>
      <c r="AL153" s="307">
        <f t="shared" si="54"/>
        <v>1.9930398969687637</v>
      </c>
      <c r="AM153" s="307">
        <f t="shared" si="54"/>
        <v>2.1121156378481842</v>
      </c>
      <c r="AN153" s="307">
        <f t="shared" si="54"/>
        <v>2.2317510347097453</v>
      </c>
      <c r="AO153" s="307">
        <f t="shared" si="54"/>
        <v>2.3519487179365584</v>
      </c>
      <c r="AP153" s="307">
        <f t="shared" si="54"/>
        <v>2.4727113302745316</v>
      </c>
      <c r="AQ153" s="307">
        <f t="shared" si="54"/>
        <v>2.5940415268904964</v>
      </c>
      <c r="AR153" s="307">
        <f t="shared" si="54"/>
        <v>2.7159419754305496</v>
      </c>
      <c r="AS153" s="307">
        <f t="shared" si="54"/>
        <v>2.8384153560787482</v>
      </c>
      <c r="AT153" s="307">
        <f t="shared" si="54"/>
        <v>2.9614643616159917</v>
      </c>
      <c r="AU153" s="307">
        <f t="shared" si="54"/>
        <v>3.0850916974792604</v>
      </c>
      <c r="AV153" s="307">
        <f t="shared" si="54"/>
        <v>3.2093000818210839</v>
      </c>
      <c r="AW153" s="307">
        <f t="shared" si="54"/>
        <v>3.3340922455693196</v>
      </c>
      <c r="AX153" s="307">
        <f t="shared" si="54"/>
        <v>3.4594709324871644</v>
      </c>
      <c r="AY153" s="307">
        <f t="shared" si="54"/>
        <v>3.5854388992335267</v>
      </c>
      <c r="AZ153" s="307">
        <f t="shared" si="54"/>
        <v>3.7119989154235959</v>
      </c>
      <c r="BA153" s="307">
        <f t="shared" si="54"/>
        <v>3.8391537636897581</v>
      </c>
      <c r="BB153" s="307">
        <f t="shared" si="54"/>
        <v>3.966906239742773</v>
      </c>
      <c r="BC153" s="307">
        <f t="shared" si="54"/>
        <v>4.0952591524332398</v>
      </c>
    </row>
    <row r="154" spans="2:58" s="206" customFormat="1" ht="16.95" customHeight="1" outlineLevel="1" x14ac:dyDescent="0.3">
      <c r="B154" s="301" t="s">
        <v>415</v>
      </c>
      <c r="C154" s="307">
        <f>IF((C153&gt;0),C153*(1-($C$26+$C$25)),C153)</f>
        <v>-37.825899409462536</v>
      </c>
      <c r="D154" s="307">
        <f t="shared" ref="D154:BC154" si="55">IF((D153&gt;0),D153*(1-($C$26+$C$25)),D153)</f>
        <v>-66.467423087907349</v>
      </c>
      <c r="E154" s="307">
        <f t="shared" si="55"/>
        <v>-60.313662893346404</v>
      </c>
      <c r="F154" s="307">
        <f t="shared" si="55"/>
        <v>-1.5369996350625534</v>
      </c>
      <c r="G154" s="307">
        <f t="shared" si="55"/>
        <v>-1.4345150799836688</v>
      </c>
      <c r="H154" s="307">
        <f t="shared" si="55"/>
        <v>-1.3315488474959203</v>
      </c>
      <c r="I154" s="307">
        <f t="shared" si="55"/>
        <v>-1.2280986737154755</v>
      </c>
      <c r="J154" s="307">
        <f t="shared" si="55"/>
        <v>-1.1241622841182668</v>
      </c>
      <c r="K154" s="307">
        <f t="shared" si="55"/>
        <v>-1.019737393489951</v>
      </c>
      <c r="L154" s="307">
        <f t="shared" si="55"/>
        <v>-0.91482170587567779</v>
      </c>
      <c r="M154" s="307">
        <f t="shared" si="55"/>
        <v>-0.80941291452962005</v>
      </c>
      <c r="N154" s="307">
        <f t="shared" si="55"/>
        <v>-0.7035087018642372</v>
      </c>
      <c r="O154" s="307">
        <f t="shared" si="55"/>
        <v>-0.59710673939933301</v>
      </c>
      <c r="P154" s="307">
        <f t="shared" si="55"/>
        <v>-0.49020468771083259</v>
      </c>
      <c r="Q154" s="307">
        <f t="shared" si="55"/>
        <v>-0.38280019637939944</v>
      </c>
      <c r="R154" s="307">
        <f t="shared" si="55"/>
        <v>-0.27489090393870796</v>
      </c>
      <c r="S154" s="307">
        <f t="shared" si="55"/>
        <v>-0.16647443782354898</v>
      </c>
      <c r="T154" s="307">
        <f t="shared" si="55"/>
        <v>-5.7548414317643903E-2</v>
      </c>
      <c r="U154" s="307">
        <f t="shared" si="55"/>
        <v>3.4247110589163729E-2</v>
      </c>
      <c r="V154" s="307">
        <f t="shared" si="55"/>
        <v>0.10681565122895804</v>
      </c>
      <c r="W154" s="307">
        <f t="shared" si="55"/>
        <v>0.17972526400975811</v>
      </c>
      <c r="X154" s="307">
        <f t="shared" si="55"/>
        <v>0.25297755197062666</v>
      </c>
      <c r="Y154" s="307">
        <f t="shared" si="55"/>
        <v>0.32657412568491601</v>
      </c>
      <c r="Z154" s="307">
        <f t="shared" si="55"/>
        <v>0.40051660329565808</v>
      </c>
      <c r="AA154" s="307">
        <f t="shared" si="55"/>
        <v>0.47480661055117213</v>
      </c>
      <c r="AB154" s="307">
        <f t="shared" si="55"/>
        <v>0.54944578084078788</v>
      </c>
      <c r="AC154" s="307">
        <f t="shared" si="55"/>
        <v>0.62443575523076289</v>
      </c>
      <c r="AD154" s="307">
        <f t="shared" si="55"/>
        <v>0.69977818250037382</v>
      </c>
      <c r="AE154" s="307">
        <f t="shared" si="55"/>
        <v>0.7754747191781477</v>
      </c>
      <c r="AF154" s="307">
        <f t="shared" si="55"/>
        <v>0.85152702957830984</v>
      </c>
      <c r="AG154" s="307">
        <f t="shared" si="55"/>
        <v>0.92793678583735273</v>
      </c>
      <c r="AH154" s="307">
        <f t="shared" si="55"/>
        <v>1.0047056679508122</v>
      </c>
      <c r="AI154" s="307">
        <f t="shared" si="55"/>
        <v>1.0818353638102045</v>
      </c>
      <c r="AJ154" s="307">
        <f t="shared" si="55"/>
        <v>1.1593275692401379</v>
      </c>
      <c r="AK154" s="307">
        <f t="shared" si="55"/>
        <v>1.2371839880355893</v>
      </c>
      <c r="AL154" s="307">
        <f t="shared" si="55"/>
        <v>1.3154063319993841</v>
      </c>
      <c r="AM154" s="307">
        <f t="shared" si="55"/>
        <v>1.3939963209798016</v>
      </c>
      <c r="AN154" s="307">
        <f t="shared" si="55"/>
        <v>1.472955682908432</v>
      </c>
      <c r="AO154" s="307">
        <f t="shared" si="55"/>
        <v>1.5522861538381285</v>
      </c>
      <c r="AP154" s="307">
        <f t="shared" si="55"/>
        <v>1.631989477981191</v>
      </c>
      <c r="AQ154" s="307">
        <f t="shared" si="55"/>
        <v>1.7120674077477276</v>
      </c>
      <c r="AR154" s="307">
        <f t="shared" si="55"/>
        <v>1.7925217037841628</v>
      </c>
      <c r="AS154" s="307">
        <f t="shared" si="55"/>
        <v>1.8733541350119738</v>
      </c>
      <c r="AT154" s="307">
        <f t="shared" si="55"/>
        <v>1.9545664786665546</v>
      </c>
      <c r="AU154" s="307">
        <f t="shared" si="55"/>
        <v>2.036160520336312</v>
      </c>
      <c r="AV154" s="307">
        <f t="shared" si="55"/>
        <v>2.1181380540019155</v>
      </c>
      <c r="AW154" s="307">
        <f t="shared" si="55"/>
        <v>2.200500882075751</v>
      </c>
      <c r="AX154" s="307">
        <f t="shared" si="55"/>
        <v>2.2832508154415287</v>
      </c>
      <c r="AY154" s="307">
        <f t="shared" si="55"/>
        <v>2.3663896734941279</v>
      </c>
      <c r="AZ154" s="307">
        <f t="shared" si="55"/>
        <v>2.4499192841795736</v>
      </c>
      <c r="BA154" s="307">
        <f t="shared" si="55"/>
        <v>2.5338414840352406</v>
      </c>
      <c r="BB154" s="307">
        <f t="shared" si="55"/>
        <v>2.6181581182302303</v>
      </c>
      <c r="BC154" s="307">
        <f t="shared" si="55"/>
        <v>2.7028710406059382</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-37.825899409462536</v>
      </c>
      <c r="D156" s="307">
        <f t="shared" ref="D156:BC156" si="56">D154</f>
        <v>-66.467423087907349</v>
      </c>
      <c r="E156" s="307">
        <f t="shared" si="56"/>
        <v>-60.313662893346404</v>
      </c>
      <c r="F156" s="307">
        <f t="shared" si="56"/>
        <v>-1.5369996350625534</v>
      </c>
      <c r="G156" s="307">
        <f t="shared" si="56"/>
        <v>-1.4345150799836688</v>
      </c>
      <c r="H156" s="307">
        <f t="shared" si="56"/>
        <v>-1.3315488474959203</v>
      </c>
      <c r="I156" s="307">
        <f t="shared" si="56"/>
        <v>-1.2280986737154755</v>
      </c>
      <c r="J156" s="307">
        <f t="shared" si="56"/>
        <v>-1.1241622841182668</v>
      </c>
      <c r="K156" s="307">
        <f t="shared" si="56"/>
        <v>-1.019737393489951</v>
      </c>
      <c r="L156" s="307">
        <f t="shared" si="56"/>
        <v>-0.91482170587567779</v>
      </c>
      <c r="M156" s="307">
        <f t="shared" si="56"/>
        <v>-0.80941291452962005</v>
      </c>
      <c r="N156" s="307">
        <f t="shared" si="56"/>
        <v>-0.7035087018642372</v>
      </c>
      <c r="O156" s="307">
        <f t="shared" si="56"/>
        <v>-0.59710673939933301</v>
      </c>
      <c r="P156" s="307">
        <f t="shared" si="56"/>
        <v>-0.49020468771083259</v>
      </c>
      <c r="Q156" s="307">
        <f t="shared" si="56"/>
        <v>-0.38280019637939944</v>
      </c>
      <c r="R156" s="307">
        <f t="shared" si="56"/>
        <v>-0.27489090393870796</v>
      </c>
      <c r="S156" s="307">
        <f t="shared" si="56"/>
        <v>-0.16647443782354898</v>
      </c>
      <c r="T156" s="307">
        <f t="shared" si="56"/>
        <v>-5.7548414317643903E-2</v>
      </c>
      <c r="U156" s="307">
        <f t="shared" si="56"/>
        <v>3.4247110589163729E-2</v>
      </c>
      <c r="V156" s="307">
        <f t="shared" si="56"/>
        <v>0.10681565122895804</v>
      </c>
      <c r="W156" s="307">
        <f t="shared" si="56"/>
        <v>0.17972526400975811</v>
      </c>
      <c r="X156" s="307">
        <f t="shared" si="56"/>
        <v>0.25297755197062666</v>
      </c>
      <c r="Y156" s="307">
        <f t="shared" si="56"/>
        <v>0.32657412568491601</v>
      </c>
      <c r="Z156" s="307">
        <f t="shared" si="56"/>
        <v>0.40051660329565808</v>
      </c>
      <c r="AA156" s="307">
        <f t="shared" si="56"/>
        <v>0.47480661055117213</v>
      </c>
      <c r="AB156" s="307">
        <f t="shared" si="56"/>
        <v>0.54944578084078788</v>
      </c>
      <c r="AC156" s="307">
        <f t="shared" si="56"/>
        <v>0.62443575523076289</v>
      </c>
      <c r="AD156" s="307">
        <f t="shared" si="56"/>
        <v>0.69977818250037382</v>
      </c>
      <c r="AE156" s="307">
        <f t="shared" si="56"/>
        <v>0.7754747191781477</v>
      </c>
      <c r="AF156" s="307">
        <f t="shared" si="56"/>
        <v>0.85152702957830984</v>
      </c>
      <c r="AG156" s="307">
        <f t="shared" si="56"/>
        <v>0.92793678583735273</v>
      </c>
      <c r="AH156" s="307">
        <f t="shared" si="56"/>
        <v>1.0047056679508122</v>
      </c>
      <c r="AI156" s="307">
        <f t="shared" si="56"/>
        <v>1.0818353638102045</v>
      </c>
      <c r="AJ156" s="307">
        <f t="shared" si="56"/>
        <v>1.1593275692401379</v>
      </c>
      <c r="AK156" s="307">
        <f t="shared" si="56"/>
        <v>1.2371839880355893</v>
      </c>
      <c r="AL156" s="307">
        <f t="shared" si="56"/>
        <v>1.3154063319993841</v>
      </c>
      <c r="AM156" s="307">
        <f t="shared" si="56"/>
        <v>1.3939963209798016</v>
      </c>
      <c r="AN156" s="307">
        <f t="shared" si="56"/>
        <v>1.472955682908432</v>
      </c>
      <c r="AO156" s="307">
        <f t="shared" si="56"/>
        <v>1.5522861538381285</v>
      </c>
      <c r="AP156" s="307">
        <f t="shared" si="56"/>
        <v>1.631989477981191</v>
      </c>
      <c r="AQ156" s="307">
        <f t="shared" si="56"/>
        <v>1.7120674077477276</v>
      </c>
      <c r="AR156" s="307">
        <f t="shared" si="56"/>
        <v>1.7925217037841628</v>
      </c>
      <c r="AS156" s="307">
        <f t="shared" si="56"/>
        <v>1.8733541350119738</v>
      </c>
      <c r="AT156" s="307">
        <f t="shared" si="56"/>
        <v>1.9545664786665546</v>
      </c>
      <c r="AU156" s="307">
        <f t="shared" si="56"/>
        <v>2.036160520336312</v>
      </c>
      <c r="AV156" s="307">
        <f t="shared" si="56"/>
        <v>2.1181380540019155</v>
      </c>
      <c r="AW156" s="307">
        <f t="shared" si="56"/>
        <v>2.200500882075751</v>
      </c>
      <c r="AX156" s="307">
        <f t="shared" si="56"/>
        <v>2.2832508154415287</v>
      </c>
      <c r="AY156" s="307">
        <f t="shared" si="56"/>
        <v>2.3663896734941279</v>
      </c>
      <c r="AZ156" s="307">
        <f t="shared" si="56"/>
        <v>2.4499192841795736</v>
      </c>
      <c r="BA156" s="307">
        <f t="shared" si="56"/>
        <v>2.5338414840352406</v>
      </c>
      <c r="BB156" s="307">
        <f t="shared" si="56"/>
        <v>2.6181581182302303</v>
      </c>
      <c r="BC156" s="307">
        <f t="shared" si="56"/>
        <v>2.7028710406059382</v>
      </c>
    </row>
    <row r="157" spans="2:58" s="309" customFormat="1" ht="16.95" customHeight="1" outlineLevel="1" x14ac:dyDescent="0.3">
      <c r="B157" s="309" t="s">
        <v>465</v>
      </c>
      <c r="C157" s="310">
        <f>C156</f>
        <v>-37.825899409462536</v>
      </c>
      <c r="D157" s="310">
        <f t="shared" ref="D157:BC157" si="57">C157+D156</f>
        <v>-104.29332249736989</v>
      </c>
      <c r="E157" s="310">
        <f t="shared" si="57"/>
        <v>-164.60698539071629</v>
      </c>
      <c r="F157" s="310">
        <f t="shared" si="57"/>
        <v>-166.14398502577885</v>
      </c>
      <c r="G157" s="310">
        <f t="shared" si="57"/>
        <v>-167.57850010576252</v>
      </c>
      <c r="H157" s="310">
        <f t="shared" si="57"/>
        <v>-168.91004895325844</v>
      </c>
      <c r="I157" s="310">
        <f t="shared" si="57"/>
        <v>-170.1381476269739</v>
      </c>
      <c r="J157" s="310">
        <f t="shared" si="57"/>
        <v>-171.26230991109216</v>
      </c>
      <c r="K157" s="310">
        <f t="shared" si="57"/>
        <v>-172.28204730458211</v>
      </c>
      <c r="L157" s="310">
        <f t="shared" si="57"/>
        <v>-173.19686901045779</v>
      </c>
      <c r="M157" s="310">
        <f t="shared" si="57"/>
        <v>-174.00628192498741</v>
      </c>
      <c r="N157" s="310">
        <f t="shared" si="57"/>
        <v>-174.70979062685166</v>
      </c>
      <c r="O157" s="310">
        <f t="shared" si="57"/>
        <v>-175.30689736625098</v>
      </c>
      <c r="P157" s="310">
        <f t="shared" si="57"/>
        <v>-175.79710205396182</v>
      </c>
      <c r="Q157" s="310">
        <f t="shared" si="57"/>
        <v>-176.17990225034123</v>
      </c>
      <c r="R157" s="310">
        <f t="shared" si="57"/>
        <v>-176.45479315427994</v>
      </c>
      <c r="S157" s="310">
        <f t="shared" si="57"/>
        <v>-176.62126759210349</v>
      </c>
      <c r="T157" s="310">
        <f t="shared" si="57"/>
        <v>-176.67881600642113</v>
      </c>
      <c r="U157" s="310">
        <f t="shared" si="57"/>
        <v>-176.64456889583195</v>
      </c>
      <c r="V157" s="310">
        <f t="shared" si="57"/>
        <v>-176.53775324460298</v>
      </c>
      <c r="W157" s="310">
        <f t="shared" si="57"/>
        <v>-176.35802798059322</v>
      </c>
      <c r="X157" s="310">
        <f t="shared" si="57"/>
        <v>-176.1050504286226</v>
      </c>
      <c r="Y157" s="310">
        <f t="shared" si="57"/>
        <v>-175.77847630293769</v>
      </c>
      <c r="Z157" s="310">
        <f t="shared" si="57"/>
        <v>-175.37795969964202</v>
      </c>
      <c r="AA157" s="310">
        <f t="shared" si="57"/>
        <v>-174.90315308909084</v>
      </c>
      <c r="AB157" s="310">
        <f t="shared" si="57"/>
        <v>-174.35370730825005</v>
      </c>
      <c r="AC157" s="310">
        <f t="shared" si="57"/>
        <v>-173.72927155301929</v>
      </c>
      <c r="AD157" s="310">
        <f t="shared" si="57"/>
        <v>-173.02949337051891</v>
      </c>
      <c r="AE157" s="310">
        <f t="shared" si="57"/>
        <v>-172.25401865134077</v>
      </c>
      <c r="AF157" s="310">
        <f t="shared" si="57"/>
        <v>-171.40249162176247</v>
      </c>
      <c r="AG157" s="310">
        <f t="shared" si="57"/>
        <v>-170.47455483592512</v>
      </c>
      <c r="AH157" s="310">
        <f t="shared" si="57"/>
        <v>-169.4698491679743</v>
      </c>
      <c r="AI157" s="310">
        <f t="shared" si="57"/>
        <v>-168.3880138041641</v>
      </c>
      <c r="AJ157" s="310">
        <f t="shared" si="57"/>
        <v>-167.22868623492397</v>
      </c>
      <c r="AK157" s="310">
        <f t="shared" si="57"/>
        <v>-165.99150224688839</v>
      </c>
      <c r="AL157" s="310">
        <f t="shared" si="57"/>
        <v>-164.676095914889</v>
      </c>
      <c r="AM157" s="310">
        <f t="shared" si="57"/>
        <v>-163.28209959390921</v>
      </c>
      <c r="AN157" s="310">
        <f t="shared" si="57"/>
        <v>-161.80914391100077</v>
      </c>
      <c r="AO157" s="310">
        <f t="shared" si="57"/>
        <v>-160.25685775716263</v>
      </c>
      <c r="AP157" s="310">
        <f t="shared" si="57"/>
        <v>-158.62486827918144</v>
      </c>
      <c r="AQ157" s="310">
        <f t="shared" si="57"/>
        <v>-156.91280087143372</v>
      </c>
      <c r="AR157" s="310">
        <f t="shared" si="57"/>
        <v>-155.12027916764956</v>
      </c>
      <c r="AS157" s="310">
        <f t="shared" si="57"/>
        <v>-153.24692503263759</v>
      </c>
      <c r="AT157" s="310">
        <f t="shared" si="57"/>
        <v>-151.29235855397104</v>
      </c>
      <c r="AU157" s="310">
        <f t="shared" si="57"/>
        <v>-149.25619803363472</v>
      </c>
      <c r="AV157" s="310">
        <f t="shared" si="57"/>
        <v>-147.1380599796328</v>
      </c>
      <c r="AW157" s="310">
        <f t="shared" si="57"/>
        <v>-144.93755909755706</v>
      </c>
      <c r="AX157" s="310">
        <f t="shared" si="57"/>
        <v>-142.65430828211552</v>
      </c>
      <c r="AY157" s="310">
        <f t="shared" si="57"/>
        <v>-140.2879186086214</v>
      </c>
      <c r="AZ157" s="310">
        <f t="shared" si="57"/>
        <v>-137.83799932444182</v>
      </c>
      <c r="BA157" s="310">
        <f t="shared" si="57"/>
        <v>-135.30415784040659</v>
      </c>
      <c r="BB157" s="310">
        <f t="shared" si="57"/>
        <v>-132.68599972217635</v>
      </c>
      <c r="BC157" s="310">
        <f t="shared" si="57"/>
        <v>-129.98312868157041</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-34.468652642120048</v>
      </c>
      <c r="D159" s="312">
        <f t="shared" ref="D159:BC159" si="58">NPV($C$28,D156)</f>
        <v>-60.568091022332197</v>
      </c>
      <c r="E159" s="312">
        <f t="shared" si="58"/>
        <v>-54.960509288633503</v>
      </c>
      <c r="F159" s="312">
        <f t="shared" si="58"/>
        <v>-1.4005828640992832</v>
      </c>
      <c r="G159" s="312">
        <f t="shared" si="58"/>
        <v>-1.3071943502676042</v>
      </c>
      <c r="H159" s="312">
        <f t="shared" si="58"/>
        <v>-1.2133669104209226</v>
      </c>
      <c r="I159" s="312">
        <f t="shared" si="58"/>
        <v>-1.119098481606958</v>
      </c>
      <c r="J159" s="312">
        <f t="shared" si="58"/>
        <v>-1.0243869911775714</v>
      </c>
      <c r="K159" s="312">
        <f t="shared" si="58"/>
        <v>-0.92923035674316656</v>
      </c>
      <c r="L159" s="312">
        <f t="shared" si="58"/>
        <v>-0.83362648612691626</v>
      </c>
      <c r="M159" s="312">
        <f t="shared" si="58"/>
        <v>-0.73757327731877176</v>
      </c>
      <c r="N159" s="312">
        <f t="shared" si="58"/>
        <v>-0.64106861842923024</v>
      </c>
      <c r="O159" s="312">
        <f t="shared" si="58"/>
        <v>-0.54411038764291331</v>
      </c>
      <c r="P159" s="312">
        <f t="shared" si="58"/>
        <v>-0.4466964531718905</v>
      </c>
      <c r="Q159" s="312">
        <f t="shared" si="58"/>
        <v>-0.34882467320885679</v>
      </c>
      <c r="R159" s="312">
        <f t="shared" si="58"/>
        <v>-0.25049289587999635</v>
      </c>
      <c r="S159" s="312">
        <f t="shared" si="58"/>
        <v>-0.15169895919769363</v>
      </c>
      <c r="T159" s="312">
        <f t="shared" si="58"/>
        <v>-5.2440691012979684E-2</v>
      </c>
      <c r="U159" s="312">
        <f t="shared" si="58"/>
        <v>3.1207500081249982E-2</v>
      </c>
      <c r="V159" s="312">
        <f t="shared" si="58"/>
        <v>9.7335202504973614E-2</v>
      </c>
      <c r="W159" s="312">
        <f t="shared" si="58"/>
        <v>0.1637737051300876</v>
      </c>
      <c r="X159" s="312">
        <f t="shared" si="58"/>
        <v>0.23052446871753843</v>
      </c>
      <c r="Y159" s="312">
        <f t="shared" si="58"/>
        <v>0.29758896089385461</v>
      </c>
      <c r="Z159" s="312">
        <f t="shared" si="58"/>
        <v>0.36496865618339541</v>
      </c>
      <c r="AA159" s="312">
        <f t="shared" si="58"/>
        <v>0.43266503604079837</v>
      </c>
      <c r="AB159" s="312">
        <f t="shared" si="58"/>
        <v>0.50067958888353192</v>
      </c>
      <c r="AC159" s="312">
        <f t="shared" si="58"/>
        <v>0.56901381012462449</v>
      </c>
      <c r="AD159" s="312">
        <f t="shared" si="58"/>
        <v>0.63766920220555301</v>
      </c>
      <c r="AE159" s="312">
        <f t="shared" si="58"/>
        <v>0.70664727462925803</v>
      </c>
      <c r="AF159" s="312">
        <f t="shared" si="58"/>
        <v>0.77594954399335692</v>
      </c>
      <c r="AG159" s="312">
        <f t="shared" si="58"/>
        <v>0.84557753402346714</v>
      </c>
      <c r="AH159" s="312">
        <f t="shared" si="58"/>
        <v>0.91553277560671786</v>
      </c>
      <c r="AI159" s="312">
        <f t="shared" si="58"/>
        <v>0.98581680682540962</v>
      </c>
      <c r="AJ159" s="312">
        <f t="shared" si="58"/>
        <v>1.0564311729908311</v>
      </c>
      <c r="AK159" s="312">
        <f t="shared" si="58"/>
        <v>1.1273774266772274</v>
      </c>
      <c r="AL159" s="312">
        <f t="shared" si="58"/>
        <v>1.1986571277559541</v>
      </c>
      <c r="AM159" s="312">
        <f t="shared" si="58"/>
        <v>1.2702718434297446</v>
      </c>
      <c r="AN159" s="312">
        <f t="shared" si="58"/>
        <v>1.3422231482672062</v>
      </c>
      <c r="AO159" s="312">
        <f t="shared" si="58"/>
        <v>1.4145126242374053</v>
      </c>
      <c r="AP159" s="312">
        <f t="shared" si="58"/>
        <v>1.4871418607446611</v>
      </c>
      <c r="AQ159" s="312">
        <f t="shared" si="58"/>
        <v>1.5601124546635026</v>
      </c>
      <c r="AR159" s="312">
        <f t="shared" si="58"/>
        <v>1.6334260103737588</v>
      </c>
      <c r="AS159" s="312">
        <f t="shared" si="58"/>
        <v>1.7070841397958574</v>
      </c>
      <c r="AT159" s="312">
        <f t="shared" si="58"/>
        <v>1.7810884624262391</v>
      </c>
      <c r="AU159" s="312">
        <f t="shared" si="58"/>
        <v>1.8554406053729835</v>
      </c>
      <c r="AV159" s="312">
        <f t="shared" si="58"/>
        <v>1.9301422033915761</v>
      </c>
      <c r="AW159" s="312">
        <f t="shared" si="58"/>
        <v>2.0051948989208594</v>
      </c>
      <c r="AX159" s="312">
        <f t="shared" si="58"/>
        <v>2.0806003421191259</v>
      </c>
      <c r="AY159" s="312">
        <f t="shared" si="58"/>
        <v>2.1563601909004264</v>
      </c>
      <c r="AZ159" s="312">
        <f t="shared" si="58"/>
        <v>2.2324761109709983</v>
      </c>
      <c r="BA159" s="312">
        <f t="shared" si="58"/>
        <v>2.3089497758659019</v>
      </c>
      <c r="BB159" s="312">
        <f t="shared" si="58"/>
        <v>2.3857828669858123</v>
      </c>
      <c r="BC159" s="312">
        <f t="shared" si="58"/>
        <v>2.4629770736339878</v>
      </c>
    </row>
    <row r="160" spans="2:58" s="309" customFormat="1" ht="16.95" customHeight="1" outlineLevel="1" x14ac:dyDescent="0.3">
      <c r="B160" s="313" t="s">
        <v>467</v>
      </c>
      <c r="C160" s="312">
        <f>C159</f>
        <v>-34.468652642120048</v>
      </c>
      <c r="D160" s="312">
        <f t="shared" ref="D160:BC160" si="59">C160+D159</f>
        <v>-95.036743664452246</v>
      </c>
      <c r="E160" s="312">
        <f t="shared" si="59"/>
        <v>-149.99725295308576</v>
      </c>
      <c r="F160" s="312">
        <f t="shared" si="59"/>
        <v>-151.39783581718504</v>
      </c>
      <c r="G160" s="312">
        <f t="shared" si="59"/>
        <v>-152.70503016745263</v>
      </c>
      <c r="H160" s="312">
        <f t="shared" si="59"/>
        <v>-153.91839707787355</v>
      </c>
      <c r="I160" s="312">
        <f t="shared" si="59"/>
        <v>-155.0374955594805</v>
      </c>
      <c r="J160" s="312">
        <f t="shared" si="59"/>
        <v>-156.06188255065808</v>
      </c>
      <c r="K160" s="312">
        <f t="shared" si="59"/>
        <v>-156.99111290740126</v>
      </c>
      <c r="L160" s="312">
        <f t="shared" si="59"/>
        <v>-157.82473939352818</v>
      </c>
      <c r="M160" s="312">
        <f t="shared" si="59"/>
        <v>-158.56231267084695</v>
      </c>
      <c r="N160" s="312">
        <f t="shared" si="59"/>
        <v>-159.20338128927619</v>
      </c>
      <c r="O160" s="312">
        <f t="shared" si="59"/>
        <v>-159.74749167691911</v>
      </c>
      <c r="P160" s="312">
        <f t="shared" si="59"/>
        <v>-160.19418813009099</v>
      </c>
      <c r="Q160" s="312">
        <f t="shared" si="59"/>
        <v>-160.54301280329986</v>
      </c>
      <c r="R160" s="312">
        <f t="shared" si="59"/>
        <v>-160.79350569917986</v>
      </c>
      <c r="S160" s="312">
        <f t="shared" si="59"/>
        <v>-160.94520465837755</v>
      </c>
      <c r="T160" s="312">
        <f t="shared" si="59"/>
        <v>-160.99764534939052</v>
      </c>
      <c r="U160" s="312">
        <f t="shared" si="59"/>
        <v>-160.96643784930927</v>
      </c>
      <c r="V160" s="312">
        <f t="shared" si="59"/>
        <v>-160.86910264680429</v>
      </c>
      <c r="W160" s="312">
        <f t="shared" si="59"/>
        <v>-160.7053289416742</v>
      </c>
      <c r="X160" s="312">
        <f t="shared" si="59"/>
        <v>-160.47480447295666</v>
      </c>
      <c r="Y160" s="312">
        <f t="shared" si="59"/>
        <v>-160.17721551206282</v>
      </c>
      <c r="Z160" s="312">
        <f t="shared" si="59"/>
        <v>-159.81224685587941</v>
      </c>
      <c r="AA160" s="312">
        <f t="shared" si="59"/>
        <v>-159.37958181983862</v>
      </c>
      <c r="AB160" s="312">
        <f t="shared" si="59"/>
        <v>-158.87890223095508</v>
      </c>
      <c r="AC160" s="312">
        <f t="shared" si="59"/>
        <v>-158.30988842083045</v>
      </c>
      <c r="AD160" s="312">
        <f t="shared" si="59"/>
        <v>-157.67221921862489</v>
      </c>
      <c r="AE160" s="312">
        <f t="shared" si="59"/>
        <v>-156.96557194399563</v>
      </c>
      <c r="AF160" s="312">
        <f t="shared" si="59"/>
        <v>-156.18962240000226</v>
      </c>
      <c r="AG160" s="312">
        <f t="shared" si="59"/>
        <v>-155.34404486597879</v>
      </c>
      <c r="AH160" s="312">
        <f t="shared" si="59"/>
        <v>-154.42851209037207</v>
      </c>
      <c r="AI160" s="312">
        <f t="shared" si="59"/>
        <v>-153.44269528354667</v>
      </c>
      <c r="AJ160" s="312">
        <f t="shared" si="59"/>
        <v>-152.38626411055583</v>
      </c>
      <c r="AK160" s="312">
        <f t="shared" si="59"/>
        <v>-151.25888668387861</v>
      </c>
      <c r="AL160" s="312">
        <f t="shared" si="59"/>
        <v>-150.06022955612266</v>
      </c>
      <c r="AM160" s="312">
        <f t="shared" si="59"/>
        <v>-148.78995771269291</v>
      </c>
      <c r="AN160" s="312">
        <f t="shared" si="59"/>
        <v>-147.4477345644257</v>
      </c>
      <c r="AO160" s="312">
        <f t="shared" si="59"/>
        <v>-146.0332219401883</v>
      </c>
      <c r="AP160" s="312">
        <f t="shared" si="59"/>
        <v>-144.54608007944364</v>
      </c>
      <c r="AQ160" s="312">
        <f t="shared" si="59"/>
        <v>-142.98596762478013</v>
      </c>
      <c r="AR160" s="312">
        <f t="shared" si="59"/>
        <v>-141.35254161440636</v>
      </c>
      <c r="AS160" s="312">
        <f t="shared" si="59"/>
        <v>-139.64545747461051</v>
      </c>
      <c r="AT160" s="312">
        <f t="shared" si="59"/>
        <v>-137.86436901218428</v>
      </c>
      <c r="AU160" s="312">
        <f t="shared" si="59"/>
        <v>-136.00892840681129</v>
      </c>
      <c r="AV160" s="312">
        <f t="shared" si="59"/>
        <v>-134.07878620341972</v>
      </c>
      <c r="AW160" s="312">
        <f t="shared" si="59"/>
        <v>-132.07359130449888</v>
      </c>
      <c r="AX160" s="312">
        <f t="shared" si="59"/>
        <v>-129.99299096237976</v>
      </c>
      <c r="AY160" s="312">
        <f t="shared" si="59"/>
        <v>-127.83663077147934</v>
      </c>
      <c r="AZ160" s="312">
        <f t="shared" si="59"/>
        <v>-125.60415466050834</v>
      </c>
      <c r="BA160" s="312">
        <f t="shared" si="59"/>
        <v>-123.29520488464244</v>
      </c>
      <c r="BB160" s="312">
        <f t="shared" si="59"/>
        <v>-120.90942201765664</v>
      </c>
      <c r="BC160" s="312">
        <f t="shared" si="59"/>
        <v>-118.44644494402264</v>
      </c>
    </row>
    <row r="161" spans="1:58" s="309" customFormat="1" ht="16.95" customHeight="1" outlineLevel="1" x14ac:dyDescent="0.3">
      <c r="B161" s="309" t="s">
        <v>416</v>
      </c>
      <c r="C161" s="310">
        <f t="shared" ref="C161:AH161" si="60">C156/(1+$C$28)^C32</f>
        <v>-37.825899409462536</v>
      </c>
      <c r="D161" s="310">
        <f t="shared" si="60"/>
        <v>-60.568091022332197</v>
      </c>
      <c r="E161" s="310">
        <f t="shared" si="60"/>
        <v>-50.082476115029628</v>
      </c>
      <c r="F161" s="310">
        <f t="shared" si="60"/>
        <v>-1.1629978096739049</v>
      </c>
      <c r="G161" s="310">
        <f t="shared" si="60"/>
        <v>-0.98911159866180109</v>
      </c>
      <c r="H161" s="310">
        <f t="shared" si="60"/>
        <v>-0.83662786210893803</v>
      </c>
      <c r="I161" s="310">
        <f t="shared" si="60"/>
        <v>-0.7031427888784656</v>
      </c>
      <c r="J161" s="310">
        <f t="shared" si="60"/>
        <v>-0.58650851212814981</v>
      </c>
      <c r="K161" s="310">
        <f t="shared" si="60"/>
        <v>-0.48480679494172396</v>
      </c>
      <c r="L161" s="310">
        <f t="shared" si="60"/>
        <v>-0.39632535542760244</v>
      </c>
      <c r="M161" s="310">
        <f t="shared" si="60"/>
        <v>-0.31953657134474389</v>
      </c>
      <c r="N161" s="310">
        <f t="shared" si="60"/>
        <v>-0.25307832955523218</v>
      </c>
      <c r="O161" s="310">
        <f t="shared" si="60"/>
        <v>-0.19573680841959523</v>
      </c>
      <c r="P161" s="310">
        <f t="shared" si="60"/>
        <v>-0.14643100187443084</v>
      </c>
      <c r="Q161" s="310">
        <f t="shared" si="60"/>
        <v>-0.10419881257158591</v>
      </c>
      <c r="R161" s="310">
        <f t="shared" si="60"/>
        <v>-6.8184558302693085E-2</v>
      </c>
      <c r="S161" s="310">
        <f t="shared" si="60"/>
        <v>-3.7627751153887883E-2</v>
      </c>
      <c r="T161" s="310">
        <f t="shared" si="60"/>
        <v>-1.1853022587562675E-2</v>
      </c>
      <c r="U161" s="310">
        <f t="shared" si="60"/>
        <v>6.4276871526416776E-3</v>
      </c>
      <c r="V161" s="310">
        <f t="shared" si="60"/>
        <v>1.8268409214030348E-2</v>
      </c>
      <c r="W161" s="310">
        <f t="shared" si="60"/>
        <v>2.8009800337230661E-2</v>
      </c>
      <c r="X161" s="310">
        <f t="shared" si="60"/>
        <v>3.5926748402349537E-2</v>
      </c>
      <c r="Y161" s="310">
        <f t="shared" si="60"/>
        <v>4.2262262568623227E-2</v>
      </c>
      <c r="Z161" s="310">
        <f t="shared" si="60"/>
        <v>4.7230934614280927E-2</v>
      </c>
      <c r="AA161" s="310">
        <f t="shared" si="60"/>
        <v>5.1022039683192306E-2</v>
      </c>
      <c r="AB161" s="310">
        <f t="shared" si="60"/>
        <v>5.3802312952057757E-2</v>
      </c>
      <c r="AC161" s="310">
        <f t="shared" si="60"/>
        <v>5.5718435110231321E-2</v>
      </c>
      <c r="AD161" s="310">
        <f t="shared" si="60"/>
        <v>5.6899256276176646E-2</v>
      </c>
      <c r="AE161" s="310">
        <f t="shared" si="60"/>
        <v>5.7457785026000643E-2</v>
      </c>
      <c r="AF161" s="310">
        <f t="shared" si="60"/>
        <v>5.7492966549630736E-2</v>
      </c>
      <c r="AG161" s="310">
        <f t="shared" si="60"/>
        <v>5.7091271551068995E-2</v>
      </c>
      <c r="AH161" s="310">
        <f t="shared" si="60"/>
        <v>5.6328115345594953E-2</v>
      </c>
      <c r="AI161" s="310">
        <f t="shared" ref="AI161:BC161" si="61">AI156/(1+$C$28)^AI32</f>
        <v>5.5269124655924949E-2</v>
      </c>
      <c r="AJ161" s="310">
        <f t="shared" si="61"/>
        <v>5.3971267850584669E-2</v>
      </c>
      <c r="AK161" s="310">
        <f t="shared" si="61"/>
        <v>5.2483862782440362E-2</v>
      </c>
      <c r="AL161" s="310">
        <f t="shared" si="61"/>
        <v>5.084947495661242E-2</v>
      </c>
      <c r="AM161" s="310">
        <f t="shared" si="61"/>
        <v>4.910471746961375E-2</v>
      </c>
      <c r="AN161" s="310">
        <f t="shared" si="61"/>
        <v>4.7280963001760781E-2</v>
      </c>
      <c r="AO161" s="310">
        <f t="shared" si="61"/>
        <v>4.5404977100217327E-2</v>
      </c>
      <c r="AP161" s="310">
        <f t="shared" si="61"/>
        <v>4.3499481049244247E-2</v>
      </c>
      <c r="AQ161" s="310">
        <f t="shared" si="61"/>
        <v>4.1583651777139165E-2</v>
      </c>
      <c r="AR161" s="310">
        <f t="shared" si="61"/>
        <v>3.9673565486805076E-2</v>
      </c>
      <c r="AS161" s="310">
        <f t="shared" si="61"/>
        <v>3.7782591010586813E-2</v>
      </c>
      <c r="AT161" s="310">
        <f t="shared" si="61"/>
        <v>3.5921738272457177E-2</v>
      </c>
      <c r="AU161" s="310">
        <f t="shared" si="61"/>
        <v>3.4099966685077018E-2</v>
      </c>
      <c r="AV161" s="310">
        <f t="shared" si="61"/>
        <v>3.2324457809565416E-2</v>
      </c>
      <c r="AW161" s="310">
        <f t="shared" si="61"/>
        <v>3.0600856156500791E-2</v>
      </c>
      <c r="AX161" s="310">
        <f t="shared" si="61"/>
        <v>2.8933481602740833E-2</v>
      </c>
      <c r="AY161" s="310">
        <f t="shared" si="61"/>
        <v>2.7325516535613371E-2</v>
      </c>
      <c r="AZ161" s="310">
        <f t="shared" si="61"/>
        <v>2.5779170509827375E-2</v>
      </c>
      <c r="BA161" s="310">
        <f t="shared" si="61"/>
        <v>2.4295824909434809E-2</v>
      </c>
      <c r="BB161" s="310">
        <f t="shared" si="61"/>
        <v>2.287615984402698E-2</v>
      </c>
      <c r="BC161" s="310">
        <f t="shared" si="61"/>
        <v>2.1520265272103135E-2</v>
      </c>
    </row>
    <row r="162" spans="1:58" s="309" customFormat="1" ht="16.95" customHeight="1" outlineLevel="1" x14ac:dyDescent="0.3">
      <c r="B162" s="314" t="s">
        <v>417</v>
      </c>
      <c r="C162" s="310">
        <f>C161</f>
        <v>-37.825899409462536</v>
      </c>
      <c r="D162" s="310">
        <f t="shared" ref="D162:BC162" si="62">C162+D161</f>
        <v>-98.393990431794734</v>
      </c>
      <c r="E162" s="310">
        <f t="shared" si="62"/>
        <v>-148.47646654682435</v>
      </c>
      <c r="F162" s="310">
        <f t="shared" si="62"/>
        <v>-149.63946435649825</v>
      </c>
      <c r="G162" s="310">
        <f t="shared" si="62"/>
        <v>-150.62857595516004</v>
      </c>
      <c r="H162" s="310">
        <f t="shared" si="62"/>
        <v>-151.46520381726899</v>
      </c>
      <c r="I162" s="310">
        <f t="shared" si="62"/>
        <v>-152.16834660614745</v>
      </c>
      <c r="J162" s="310">
        <f t="shared" si="62"/>
        <v>-152.7548551182756</v>
      </c>
      <c r="K162" s="310">
        <f t="shared" si="62"/>
        <v>-153.23966191321733</v>
      </c>
      <c r="L162" s="310">
        <f t="shared" si="62"/>
        <v>-153.63598726864493</v>
      </c>
      <c r="M162" s="310">
        <f t="shared" si="62"/>
        <v>-153.95552383998967</v>
      </c>
      <c r="N162" s="310">
        <f t="shared" si="62"/>
        <v>-154.20860216954489</v>
      </c>
      <c r="O162" s="310">
        <f t="shared" si="62"/>
        <v>-154.40433897796447</v>
      </c>
      <c r="P162" s="310">
        <f t="shared" si="62"/>
        <v>-154.55076997983889</v>
      </c>
      <c r="Q162" s="310">
        <f t="shared" si="62"/>
        <v>-154.65496879241047</v>
      </c>
      <c r="R162" s="310">
        <f t="shared" si="62"/>
        <v>-154.72315335071318</v>
      </c>
      <c r="S162" s="310">
        <f t="shared" si="62"/>
        <v>-154.76078110186705</v>
      </c>
      <c r="T162" s="310">
        <f t="shared" si="62"/>
        <v>-154.77263412445461</v>
      </c>
      <c r="U162" s="310">
        <f t="shared" si="62"/>
        <v>-154.76620643730197</v>
      </c>
      <c r="V162" s="310">
        <f t="shared" si="62"/>
        <v>-154.74793802808796</v>
      </c>
      <c r="W162" s="310">
        <f t="shared" si="62"/>
        <v>-154.71992822775073</v>
      </c>
      <c r="X162" s="310">
        <f t="shared" si="62"/>
        <v>-154.68400147934838</v>
      </c>
      <c r="Y162" s="310">
        <f t="shared" si="62"/>
        <v>-154.64173921677977</v>
      </c>
      <c r="Z162" s="310">
        <f t="shared" si="62"/>
        <v>-154.59450828216549</v>
      </c>
      <c r="AA162" s="310">
        <f t="shared" si="62"/>
        <v>-154.54348624248229</v>
      </c>
      <c r="AB162" s="310">
        <f t="shared" si="62"/>
        <v>-154.48968392953023</v>
      </c>
      <c r="AC162" s="310">
        <f t="shared" si="62"/>
        <v>-154.43396549441999</v>
      </c>
      <c r="AD162" s="310">
        <f t="shared" si="62"/>
        <v>-154.37706623814381</v>
      </c>
      <c r="AE162" s="310">
        <f t="shared" si="62"/>
        <v>-154.31960845311781</v>
      </c>
      <c r="AF162" s="310">
        <f t="shared" si="62"/>
        <v>-154.26211548656818</v>
      </c>
      <c r="AG162" s="310">
        <f t="shared" si="62"/>
        <v>-154.20502421501712</v>
      </c>
      <c r="AH162" s="310">
        <f t="shared" si="62"/>
        <v>-154.14869609967153</v>
      </c>
      <c r="AI162" s="310">
        <f t="shared" si="62"/>
        <v>-154.0934269750156</v>
      </c>
      <c r="AJ162" s="310">
        <f t="shared" si="62"/>
        <v>-154.03945570716502</v>
      </c>
      <c r="AK162" s="310">
        <f t="shared" si="62"/>
        <v>-153.98697184438257</v>
      </c>
      <c r="AL162" s="310">
        <f t="shared" si="62"/>
        <v>-153.93612236942596</v>
      </c>
      <c r="AM162" s="310">
        <f t="shared" si="62"/>
        <v>-153.88701765195634</v>
      </c>
      <c r="AN162" s="310">
        <f t="shared" si="62"/>
        <v>-153.83973668895459</v>
      </c>
      <c r="AO162" s="310">
        <f t="shared" si="62"/>
        <v>-153.79433171185437</v>
      </c>
      <c r="AP162" s="310">
        <f t="shared" si="62"/>
        <v>-153.75083223080512</v>
      </c>
      <c r="AQ162" s="310">
        <f t="shared" si="62"/>
        <v>-153.70924857902799</v>
      </c>
      <c r="AR162" s="310">
        <f t="shared" si="62"/>
        <v>-153.66957501354119</v>
      </c>
      <c r="AS162" s="310">
        <f t="shared" si="62"/>
        <v>-153.63179242253059</v>
      </c>
      <c r="AT162" s="310">
        <f t="shared" si="62"/>
        <v>-153.59587068425813</v>
      </c>
      <c r="AU162" s="310">
        <f t="shared" si="62"/>
        <v>-153.56177071757304</v>
      </c>
      <c r="AV162" s="310">
        <f t="shared" si="62"/>
        <v>-153.52944625976346</v>
      </c>
      <c r="AW162" s="310">
        <f t="shared" si="62"/>
        <v>-153.49884540360696</v>
      </c>
      <c r="AX162" s="310">
        <f t="shared" si="62"/>
        <v>-153.46991192200423</v>
      </c>
      <c r="AY162" s="310">
        <f t="shared" si="62"/>
        <v>-153.4425864054686</v>
      </c>
      <c r="AZ162" s="310">
        <f t="shared" si="62"/>
        <v>-153.41680723495878</v>
      </c>
      <c r="BA162" s="310">
        <f t="shared" si="62"/>
        <v>-153.39251141004934</v>
      </c>
      <c r="BB162" s="310">
        <f t="shared" si="62"/>
        <v>-153.36963525020531</v>
      </c>
      <c r="BC162" s="310">
        <f t="shared" si="62"/>
        <v>-153.3481149849332</v>
      </c>
    </row>
    <row r="163" spans="1:58" s="309" customFormat="1" ht="16.95" customHeight="1" outlineLevel="1" x14ac:dyDescent="0.3">
      <c r="B163" s="314" t="s">
        <v>418</v>
      </c>
      <c r="C163" s="310">
        <f t="shared" ref="C163:AH163" si="63">C63/(1+$C$28)^C32</f>
        <v>56.962239813269335</v>
      </c>
      <c r="D163" s="310">
        <f t="shared" si="63"/>
        <v>78.098064964654668</v>
      </c>
      <c r="E163" s="310">
        <f t="shared" si="63"/>
        <v>66.14087847918492</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1</v>
      </c>
      <c r="AM164" s="315">
        <f t="shared" si="65"/>
        <v>1</v>
      </c>
      <c r="AN164" s="315">
        <f t="shared" si="65"/>
        <v>1</v>
      </c>
      <c r="AO164" s="315">
        <f t="shared" si="65"/>
        <v>1</v>
      </c>
      <c r="AP164" s="315">
        <f t="shared" si="65"/>
        <v>1</v>
      </c>
      <c r="AQ164" s="315">
        <f t="shared" si="65"/>
        <v>1</v>
      </c>
      <c r="AR164" s="315">
        <f t="shared" si="65"/>
        <v>1</v>
      </c>
      <c r="AS164" s="315">
        <f t="shared" si="65"/>
        <v>1</v>
      </c>
      <c r="AT164" s="315">
        <f t="shared" si="65"/>
        <v>1</v>
      </c>
      <c r="AU164" s="315">
        <f t="shared" si="65"/>
        <v>1</v>
      </c>
      <c r="AV164" s="315">
        <f t="shared" si="65"/>
        <v>1</v>
      </c>
      <c r="AW164" s="315">
        <f t="shared" si="65"/>
        <v>1</v>
      </c>
      <c r="AX164" s="315">
        <f t="shared" si="65"/>
        <v>1</v>
      </c>
      <c r="AY164" s="315">
        <f t="shared" si="65"/>
        <v>1</v>
      </c>
      <c r="AZ164" s="315">
        <f t="shared" si="65"/>
        <v>1</v>
      </c>
      <c r="BA164" s="315">
        <f t="shared" si="65"/>
        <v>1</v>
      </c>
      <c r="BB164" s="315">
        <f t="shared" si="65"/>
        <v>1</v>
      </c>
      <c r="BC164" s="315">
        <f t="shared" si="65"/>
        <v>1</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-9.6114538363809454E-2</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39.873567869288529</v>
      </c>
      <c r="D167" s="310">
        <f t="shared" ref="D167:BC167" si="66">D63*(1-$D$14)</f>
        <v>59.993371544548417</v>
      </c>
      <c r="E167" s="310">
        <f t="shared" si="66"/>
        <v>55.756808973075927</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39.873567869288529</v>
      </c>
      <c r="D168" s="310">
        <f t="shared" ref="D168:BC168" si="67">C173+D167</f>
        <v>99.866939413836946</v>
      </c>
      <c r="E168" s="310">
        <f t="shared" si="67"/>
        <v>155.62374838691287</v>
      </c>
      <c r="F168" s="310">
        <f t="shared" si="67"/>
        <v>155.62374838691287</v>
      </c>
      <c r="G168" s="310">
        <f t="shared" si="67"/>
        <v>147.84256096756721</v>
      </c>
      <c r="H168" s="310">
        <f t="shared" si="67"/>
        <v>140.06137354822155</v>
      </c>
      <c r="I168" s="310">
        <f t="shared" si="67"/>
        <v>132.2801861288759</v>
      </c>
      <c r="J168" s="310">
        <f t="shared" si="67"/>
        <v>124.49899870953026</v>
      </c>
      <c r="K168" s="310">
        <f t="shared" si="67"/>
        <v>116.71781129018461</v>
      </c>
      <c r="L168" s="310">
        <f t="shared" si="67"/>
        <v>108.93662387083897</v>
      </c>
      <c r="M168" s="310">
        <f t="shared" si="67"/>
        <v>101.15543645149333</v>
      </c>
      <c r="N168" s="310">
        <f t="shared" si="67"/>
        <v>93.374249032147688</v>
      </c>
      <c r="O168" s="310">
        <f t="shared" si="67"/>
        <v>85.593061612802046</v>
      </c>
      <c r="P168" s="310">
        <f t="shared" si="67"/>
        <v>77.811874193456404</v>
      </c>
      <c r="Q168" s="310">
        <f t="shared" si="67"/>
        <v>70.030686774110762</v>
      </c>
      <c r="R168" s="310">
        <f t="shared" si="67"/>
        <v>62.249499354765121</v>
      </c>
      <c r="S168" s="310">
        <f t="shared" si="67"/>
        <v>54.468311935419479</v>
      </c>
      <c r="T168" s="310">
        <f t="shared" si="67"/>
        <v>46.687124516073837</v>
      </c>
      <c r="U168" s="310">
        <f t="shared" si="67"/>
        <v>38.905937096728195</v>
      </c>
      <c r="V168" s="310">
        <f t="shared" si="67"/>
        <v>31.124749677382553</v>
      </c>
      <c r="W168" s="310">
        <f t="shared" si="67"/>
        <v>23.343562258036911</v>
      </c>
      <c r="X168" s="310">
        <f t="shared" si="67"/>
        <v>15.562374838691268</v>
      </c>
      <c r="Y168" s="310">
        <f t="shared" si="67"/>
        <v>7.7811874193456241</v>
      </c>
      <c r="Z168" s="310">
        <f t="shared" si="67"/>
        <v>-1.9539925233402755E-14</v>
      </c>
      <c r="AA168" s="310">
        <f t="shared" si="67"/>
        <v>-1.9539925233402755E-14</v>
      </c>
      <c r="AB168" s="310">
        <f t="shared" si="67"/>
        <v>-1.9539925233402755E-14</v>
      </c>
      <c r="AC168" s="310">
        <f t="shared" si="67"/>
        <v>-1.9539925233402755E-14</v>
      </c>
      <c r="AD168" s="310">
        <f t="shared" si="67"/>
        <v>-1.9539925233402755E-14</v>
      </c>
      <c r="AE168" s="310">
        <f t="shared" si="67"/>
        <v>-1.9539925233402755E-14</v>
      </c>
      <c r="AF168" s="310">
        <f t="shared" si="67"/>
        <v>-1.9539925233402755E-14</v>
      </c>
      <c r="AG168" s="310">
        <f t="shared" si="67"/>
        <v>-1.9539925233402755E-14</v>
      </c>
      <c r="AH168" s="310">
        <f t="shared" si="67"/>
        <v>-1.9539925233402755E-14</v>
      </c>
      <c r="AI168" s="310">
        <f t="shared" si="67"/>
        <v>-1.9539925233402755E-14</v>
      </c>
      <c r="AJ168" s="310">
        <f t="shared" si="67"/>
        <v>-1.9539925233402755E-14</v>
      </c>
      <c r="AK168" s="310">
        <f t="shared" si="67"/>
        <v>-1.9539925233402755E-14</v>
      </c>
      <c r="AL168" s="310">
        <f t="shared" si="67"/>
        <v>-1.9539925233402755E-14</v>
      </c>
      <c r="AM168" s="310">
        <f t="shared" si="67"/>
        <v>-1.9539925233402755E-14</v>
      </c>
      <c r="AN168" s="310">
        <f t="shared" si="67"/>
        <v>-1.9539925233402755E-14</v>
      </c>
      <c r="AO168" s="310">
        <f t="shared" si="67"/>
        <v>-1.9539925233402755E-14</v>
      </c>
      <c r="AP168" s="310">
        <f t="shared" si="67"/>
        <v>-1.9539925233402755E-14</v>
      </c>
      <c r="AQ168" s="310">
        <f t="shared" si="67"/>
        <v>-1.9539925233402755E-14</v>
      </c>
      <c r="AR168" s="310">
        <f t="shared" si="67"/>
        <v>-1.9539925233402755E-14</v>
      </c>
      <c r="AS168" s="310">
        <f t="shared" si="67"/>
        <v>-1.9539925233402755E-14</v>
      </c>
      <c r="AT168" s="310">
        <f t="shared" si="67"/>
        <v>-1.9539925233402755E-14</v>
      </c>
      <c r="AU168" s="310">
        <f t="shared" si="67"/>
        <v>-1.9539925233402755E-14</v>
      </c>
      <c r="AV168" s="310">
        <f t="shared" si="67"/>
        <v>-1.9539925233402755E-14</v>
      </c>
      <c r="AW168" s="310">
        <f t="shared" si="67"/>
        <v>-1.9539925233402755E-14</v>
      </c>
      <c r="AX168" s="310">
        <f t="shared" si="67"/>
        <v>-1.9539925233402755E-14</v>
      </c>
      <c r="AY168" s="310">
        <f t="shared" si="67"/>
        <v>-1.9539925233402755E-14</v>
      </c>
      <c r="AZ168" s="310">
        <f t="shared" si="67"/>
        <v>-1.9539925233402755E-14</v>
      </c>
      <c r="BA168" s="310">
        <f t="shared" si="67"/>
        <v>-1.9539925233402755E-14</v>
      </c>
      <c r="BB168" s="310">
        <f t="shared" si="67"/>
        <v>-1.9539925233402755E-14</v>
      </c>
      <c r="BC168" s="310">
        <f t="shared" si="67"/>
        <v>-1.9539925233402755E-14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-7.7811874193456436</v>
      </c>
      <c r="G171" s="310">
        <f t="shared" si="70"/>
        <v>-7.7811874193456436</v>
      </c>
      <c r="H171" s="310">
        <f t="shared" si="70"/>
        <v>-7.7811874193456436</v>
      </c>
      <c r="I171" s="310">
        <f t="shared" si="70"/>
        <v>-7.7811874193456436</v>
      </c>
      <c r="J171" s="310">
        <f t="shared" si="70"/>
        <v>-7.7811874193456436</v>
      </c>
      <c r="K171" s="310">
        <f t="shared" si="70"/>
        <v>-7.7811874193456436</v>
      </c>
      <c r="L171" s="310">
        <f t="shared" si="70"/>
        <v>-7.7811874193456436</v>
      </c>
      <c r="M171" s="310">
        <f t="shared" si="70"/>
        <v>-7.7811874193456436</v>
      </c>
      <c r="N171" s="310">
        <f t="shared" si="70"/>
        <v>-7.7811874193456436</v>
      </c>
      <c r="O171" s="310">
        <f t="shared" si="70"/>
        <v>-7.7811874193456436</v>
      </c>
      <c r="P171" s="310">
        <f t="shared" si="70"/>
        <v>-7.7811874193456436</v>
      </c>
      <c r="Q171" s="310">
        <f t="shared" si="70"/>
        <v>-7.7811874193456436</v>
      </c>
      <c r="R171" s="310">
        <f t="shared" si="70"/>
        <v>-7.7811874193456436</v>
      </c>
      <c r="S171" s="310">
        <f t="shared" si="70"/>
        <v>-7.7811874193456436</v>
      </c>
      <c r="T171" s="310">
        <f t="shared" si="70"/>
        <v>-7.7811874193456436</v>
      </c>
      <c r="U171" s="310">
        <f t="shared" si="70"/>
        <v>-7.7811874193456436</v>
      </c>
      <c r="V171" s="310">
        <f t="shared" si="70"/>
        <v>-7.7811874193456436</v>
      </c>
      <c r="W171" s="310">
        <f t="shared" si="70"/>
        <v>-7.7811874193456436</v>
      </c>
      <c r="X171" s="310">
        <f t="shared" si="70"/>
        <v>-7.7811874193456436</v>
      </c>
      <c r="Y171" s="310">
        <f t="shared" si="70"/>
        <v>-7.7811874193456436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-1.7345002023140508</v>
      </c>
      <c r="E172" s="310">
        <f t="shared" si="72"/>
        <v>-4.344211864501907</v>
      </c>
      <c r="F172" s="310">
        <f t="shared" si="72"/>
        <v>-7.7811874193456436</v>
      </c>
      <c r="G172" s="310">
        <f t="shared" si="72"/>
        <v>-7.3921280483783605</v>
      </c>
      <c r="H172" s="310">
        <f t="shared" si="72"/>
        <v>-7.0030686774110782</v>
      </c>
      <c r="I172" s="310">
        <f t="shared" si="72"/>
        <v>-6.614009306443795</v>
      </c>
      <c r="J172" s="310">
        <f t="shared" si="72"/>
        <v>-6.2249499354765128</v>
      </c>
      <c r="K172" s="310">
        <f t="shared" si="72"/>
        <v>-5.8358905645092314</v>
      </c>
      <c r="L172" s="310">
        <f t="shared" si="72"/>
        <v>-5.4468311935419491</v>
      </c>
      <c r="M172" s="310">
        <f t="shared" si="72"/>
        <v>-5.0577718225746668</v>
      </c>
      <c r="N172" s="310">
        <f t="shared" si="72"/>
        <v>-4.6687124516073846</v>
      </c>
      <c r="O172" s="310">
        <f t="shared" si="72"/>
        <v>-4.2796530806401023</v>
      </c>
      <c r="P172" s="310">
        <f t="shared" si="72"/>
        <v>-3.8905937096728205</v>
      </c>
      <c r="Q172" s="310">
        <f t="shared" si="72"/>
        <v>-3.5015343387055382</v>
      </c>
      <c r="R172" s="310">
        <f t="shared" si="72"/>
        <v>-3.1124749677382564</v>
      </c>
      <c r="S172" s="310">
        <f t="shared" si="72"/>
        <v>-2.7234155967709741</v>
      </c>
      <c r="T172" s="310">
        <f t="shared" si="72"/>
        <v>-2.3343562258036918</v>
      </c>
      <c r="U172" s="310">
        <f t="shared" si="72"/>
        <v>-1.9452968548364098</v>
      </c>
      <c r="V172" s="310">
        <f t="shared" si="72"/>
        <v>-1.5562374838691277</v>
      </c>
      <c r="W172" s="310">
        <f t="shared" si="72"/>
        <v>-1.1671781129018457</v>
      </c>
      <c r="X172" s="310">
        <f t="shared" si="72"/>
        <v>-0.77811874193456343</v>
      </c>
      <c r="Y172" s="310">
        <f t="shared" si="72"/>
        <v>-0.38905937096728122</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39.873567869288529</v>
      </c>
      <c r="D173" s="310">
        <f t="shared" ref="D173:BC173" si="74">D168+D171</f>
        <v>99.866939413836946</v>
      </c>
      <c r="E173" s="310">
        <f t="shared" si="74"/>
        <v>155.62374838691287</v>
      </c>
      <c r="F173" s="310">
        <f t="shared" si="74"/>
        <v>147.84256096756721</v>
      </c>
      <c r="G173" s="310">
        <f t="shared" si="74"/>
        <v>140.06137354822155</v>
      </c>
      <c r="H173" s="310">
        <f t="shared" si="74"/>
        <v>132.2801861288759</v>
      </c>
      <c r="I173" s="310">
        <f t="shared" si="74"/>
        <v>124.49899870953026</v>
      </c>
      <c r="J173" s="310">
        <f t="shared" si="74"/>
        <v>116.71781129018461</v>
      </c>
      <c r="K173" s="310">
        <f t="shared" si="74"/>
        <v>108.93662387083897</v>
      </c>
      <c r="L173" s="310">
        <f t="shared" si="74"/>
        <v>101.15543645149333</v>
      </c>
      <c r="M173" s="310">
        <f t="shared" si="74"/>
        <v>93.374249032147688</v>
      </c>
      <c r="N173" s="310">
        <f t="shared" si="74"/>
        <v>85.593061612802046</v>
      </c>
      <c r="O173" s="310">
        <f t="shared" si="74"/>
        <v>77.811874193456404</v>
      </c>
      <c r="P173" s="310">
        <f t="shared" si="74"/>
        <v>70.030686774110762</v>
      </c>
      <c r="Q173" s="310">
        <f t="shared" si="74"/>
        <v>62.249499354765121</v>
      </c>
      <c r="R173" s="310">
        <f t="shared" si="74"/>
        <v>54.468311935419479</v>
      </c>
      <c r="S173" s="310">
        <f t="shared" si="74"/>
        <v>46.687124516073837</v>
      </c>
      <c r="T173" s="310">
        <f t="shared" si="74"/>
        <v>38.905937096728195</v>
      </c>
      <c r="U173" s="310">
        <f t="shared" si="74"/>
        <v>31.124749677382553</v>
      </c>
      <c r="V173" s="310">
        <f t="shared" si="74"/>
        <v>23.343562258036911</v>
      </c>
      <c r="W173" s="310">
        <f t="shared" si="74"/>
        <v>15.562374838691268</v>
      </c>
      <c r="X173" s="310">
        <f t="shared" si="74"/>
        <v>7.7811874193456241</v>
      </c>
      <c r="Y173" s="310">
        <f t="shared" si="74"/>
        <v>-1.9539925233402755E-14</v>
      </c>
      <c r="Z173" s="310">
        <f t="shared" si="74"/>
        <v>-1.9539925233402755E-14</v>
      </c>
      <c r="AA173" s="310">
        <f t="shared" si="74"/>
        <v>-1.9539925233402755E-14</v>
      </c>
      <c r="AB173" s="310">
        <f t="shared" si="74"/>
        <v>-1.9539925233402755E-14</v>
      </c>
      <c r="AC173" s="310">
        <f t="shared" si="74"/>
        <v>-1.9539925233402755E-14</v>
      </c>
      <c r="AD173" s="310">
        <f t="shared" si="74"/>
        <v>-1.9539925233402755E-14</v>
      </c>
      <c r="AE173" s="310">
        <f t="shared" si="74"/>
        <v>-1.9539925233402755E-14</v>
      </c>
      <c r="AF173" s="310">
        <f t="shared" si="74"/>
        <v>-1.9539925233402755E-14</v>
      </c>
      <c r="AG173" s="310">
        <f t="shared" si="74"/>
        <v>-1.9539925233402755E-14</v>
      </c>
      <c r="AH173" s="310">
        <f t="shared" si="74"/>
        <v>-1.9539925233402755E-14</v>
      </c>
      <c r="AI173" s="310">
        <f t="shared" si="74"/>
        <v>-1.9539925233402755E-14</v>
      </c>
      <c r="AJ173" s="310">
        <f t="shared" si="74"/>
        <v>-1.9539925233402755E-14</v>
      </c>
      <c r="AK173" s="310">
        <f t="shared" si="74"/>
        <v>-1.9539925233402755E-14</v>
      </c>
      <c r="AL173" s="310">
        <f t="shared" si="74"/>
        <v>-1.9539925233402755E-14</v>
      </c>
      <c r="AM173" s="310">
        <f t="shared" si="74"/>
        <v>-1.9539925233402755E-14</v>
      </c>
      <c r="AN173" s="310">
        <f t="shared" si="74"/>
        <v>-1.9539925233402755E-14</v>
      </c>
      <c r="AO173" s="310">
        <f t="shared" si="74"/>
        <v>-1.9539925233402755E-14</v>
      </c>
      <c r="AP173" s="310">
        <f t="shared" si="74"/>
        <v>-1.9539925233402755E-14</v>
      </c>
      <c r="AQ173" s="310">
        <f t="shared" si="74"/>
        <v>-1.9539925233402755E-14</v>
      </c>
      <c r="AR173" s="310">
        <f t="shared" si="74"/>
        <v>-1.9539925233402755E-14</v>
      </c>
      <c r="AS173" s="310">
        <f t="shared" si="74"/>
        <v>-1.9539925233402755E-14</v>
      </c>
      <c r="AT173" s="310">
        <f t="shared" si="74"/>
        <v>-1.9539925233402755E-14</v>
      </c>
      <c r="AU173" s="310">
        <f t="shared" si="74"/>
        <v>-1.9539925233402755E-14</v>
      </c>
      <c r="AV173" s="310">
        <f t="shared" si="74"/>
        <v>-1.9539925233402755E-14</v>
      </c>
      <c r="AW173" s="310">
        <f t="shared" si="74"/>
        <v>-1.9539925233402755E-14</v>
      </c>
      <c r="AX173" s="310">
        <f t="shared" si="74"/>
        <v>-1.9539925233402755E-14</v>
      </c>
      <c r="AY173" s="310">
        <f t="shared" si="74"/>
        <v>-1.9539925233402755E-14</v>
      </c>
      <c r="AZ173" s="310">
        <f t="shared" si="74"/>
        <v>-1.9539925233402755E-14</v>
      </c>
      <c r="BA173" s="310">
        <f t="shared" si="74"/>
        <v>-1.9539925233402755E-14</v>
      </c>
      <c r="BB173" s="310">
        <f t="shared" si="74"/>
        <v>-1.9539925233402755E-14</v>
      </c>
      <c r="BC173" s="310">
        <f t="shared" si="74"/>
        <v>-1.9539925233402755E-14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3.7806375211323728</v>
      </c>
      <c r="D175" s="310">
        <f t="shared" ref="D175:BC175" si="75">D156+D167+D171+D172-D148+D35*$H$29*(1-0.0925-$C$10)/1000000+D149</f>
        <v>-6.4674377297784655</v>
      </c>
      <c r="E175" s="310">
        <f t="shared" si="75"/>
        <v>-7.1517685330031622</v>
      </c>
      <c r="F175" s="310">
        <f t="shared" si="75"/>
        <v>-15.341855524901309</v>
      </c>
      <c r="G175" s="310">
        <f t="shared" si="75"/>
        <v>-14.842051259795529</v>
      </c>
      <c r="H175" s="310">
        <f t="shared" si="75"/>
        <v>-14.341726493687311</v>
      </c>
      <c r="I175" s="310">
        <f t="shared" si="75"/>
        <v>-13.840878780221932</v>
      </c>
      <c r="J175" s="310">
        <f t="shared" si="75"/>
        <v>-13.339505661546808</v>
      </c>
      <c r="K175" s="310">
        <f t="shared" si="75"/>
        <v>-12.837604668257461</v>
      </c>
      <c r="L175" s="310">
        <f t="shared" si="75"/>
        <v>-12.335173319343191</v>
      </c>
      <c r="M175" s="310">
        <f t="shared" si="75"/>
        <v>-11.832209122132584</v>
      </c>
      <c r="N175" s="310">
        <f t="shared" si="75"/>
        <v>-11.328709572238621</v>
      </c>
      <c r="O175" s="310">
        <f t="shared" si="75"/>
        <v>-10.824672153503712</v>
      </c>
      <c r="P175" s="310">
        <f t="shared" si="75"/>
        <v>-10.320094337944289</v>
      </c>
      <c r="Q175" s="310">
        <f t="shared" si="75"/>
        <v>-9.8149735856952898</v>
      </c>
      <c r="R175" s="310">
        <f t="shared" si="75"/>
        <v>-9.3093073449542629</v>
      </c>
      <c r="S175" s="310">
        <f t="shared" si="75"/>
        <v>-8.8030930519252983</v>
      </c>
      <c r="T175" s="310">
        <f t="shared" si="75"/>
        <v>-8.296328130762646</v>
      </c>
      <c r="U175" s="310">
        <f t="shared" si="75"/>
        <v>-7.8066524444236407</v>
      </c>
      <c r="V175" s="310">
        <f t="shared" si="75"/>
        <v>-7.3361622846364662</v>
      </c>
      <c r="W175" s="310">
        <f t="shared" si="75"/>
        <v>-6.8652894001418474</v>
      </c>
      <c r="X175" s="310">
        <f t="shared" si="75"/>
        <v>-6.394031992133641</v>
      </c>
      <c r="Y175" s="310">
        <f t="shared" si="75"/>
        <v>-5.9223882533513503</v>
      </c>
      <c r="Z175" s="310">
        <f t="shared" si="75"/>
        <v>2.3308310513053216</v>
      </c>
      <c r="AA175" s="310">
        <f t="shared" si="75"/>
        <v>2.4141935364664815</v>
      </c>
      <c r="AB175" s="310">
        <f t="shared" si="75"/>
        <v>2.4979478253078984</v>
      </c>
      <c r="AC175" s="310">
        <f t="shared" si="75"/>
        <v>2.582095759306871</v>
      </c>
      <c r="AD175" s="310">
        <f t="shared" si="75"/>
        <v>2.6666391885956355</v>
      </c>
      <c r="AE175" s="310">
        <f t="shared" si="75"/>
        <v>2.7515799720020633</v>
      </c>
      <c r="AF175" s="310">
        <f t="shared" si="75"/>
        <v>2.8369199770904929</v>
      </c>
      <c r="AG175" s="310">
        <f t="shared" si="75"/>
        <v>2.9226610802028454</v>
      </c>
      <c r="AH175" s="310">
        <f t="shared" si="75"/>
        <v>3.0088051664998194</v>
      </c>
      <c r="AI175" s="310">
        <f t="shared" si="75"/>
        <v>3.0953541300023946</v>
      </c>
      <c r="AJ175" s="310">
        <f t="shared" si="75"/>
        <v>3.182309873633427</v>
      </c>
      <c r="AK175" s="310">
        <f t="shared" si="75"/>
        <v>3.2696743092595297</v>
      </c>
      <c r="AL175" s="310">
        <f t="shared" si="75"/>
        <v>3.3574493577330728</v>
      </c>
      <c r="AM175" s="310">
        <f t="shared" si="75"/>
        <v>3.4456369489344469</v>
      </c>
      <c r="AN175" s="310">
        <f t="shared" si="75"/>
        <v>3.5342390218144573</v>
      </c>
      <c r="AO175" s="310">
        <f t="shared" si="75"/>
        <v>3.6232575244370118</v>
      </c>
      <c r="AP175" s="310">
        <f t="shared" si="75"/>
        <v>3.7126944140218905</v>
      </c>
      <c r="AQ175" s="310">
        <f t="shared" si="75"/>
        <v>3.8025516569878186</v>
      </c>
      <c r="AR175" s="310">
        <f t="shared" si="75"/>
        <v>3.8928312289956866</v>
      </c>
      <c r="AS175" s="310">
        <f t="shared" si="75"/>
        <v>3.9835351149919864</v>
      </c>
      <c r="AT175" s="310">
        <f t="shared" si="75"/>
        <v>4.0746653092524756</v>
      </c>
      <c r="AU175" s="310">
        <f t="shared" si="75"/>
        <v>4.1662238154259885</v>
      </c>
      <c r="AV175" s="310">
        <f t="shared" si="75"/>
        <v>4.2582126465785048</v>
      </c>
      <c r="AW175" s="310">
        <f t="shared" si="75"/>
        <v>4.350633825237451</v>
      </c>
      <c r="AX175" s="310">
        <f t="shared" si="75"/>
        <v>4.4434893834360949</v>
      </c>
      <c r="AY175" s="310">
        <f t="shared" si="75"/>
        <v>4.5367813627582692</v>
      </c>
      <c r="AZ175" s="310">
        <f t="shared" si="75"/>
        <v>4.6305118143832544</v>
      </c>
      <c r="BA175" s="310">
        <f t="shared" si="75"/>
        <v>4.7246827991308766</v>
      </c>
      <c r="BB175" s="310">
        <f t="shared" si="75"/>
        <v>4.8192963875068138</v>
      </c>
      <c r="BC175" s="310">
        <f t="shared" si="75"/>
        <v>4.9143546597481187</v>
      </c>
    </row>
    <row r="176" spans="1:58" s="309" customFormat="1" ht="16.95" customHeight="1" outlineLevel="1" x14ac:dyDescent="0.3">
      <c r="B176" s="309" t="s">
        <v>471</v>
      </c>
      <c r="C176" s="310">
        <f>C175</f>
        <v>3.7806375211323728</v>
      </c>
      <c r="D176" s="310">
        <f t="shared" ref="D176:BC176" si="76">C176+D175</f>
        <v>-2.6868002086460927</v>
      </c>
      <c r="E176" s="310">
        <f t="shared" si="76"/>
        <v>-9.8385687416492544</v>
      </c>
      <c r="F176" s="310">
        <f t="shared" si="76"/>
        <v>-25.180424266550563</v>
      </c>
      <c r="G176" s="310">
        <f t="shared" si="76"/>
        <v>-40.022475526346092</v>
      </c>
      <c r="H176" s="310">
        <f t="shared" si="76"/>
        <v>-54.364202020033403</v>
      </c>
      <c r="I176" s="310">
        <f t="shared" si="76"/>
        <v>-68.205080800255331</v>
      </c>
      <c r="J176" s="310">
        <f t="shared" si="76"/>
        <v>-81.54458646180214</v>
      </c>
      <c r="K176" s="310">
        <f t="shared" si="76"/>
        <v>-94.382191130059596</v>
      </c>
      <c r="L176" s="310">
        <f t="shared" si="76"/>
        <v>-106.71736444940279</v>
      </c>
      <c r="M176" s="310">
        <f t="shared" si="76"/>
        <v>-118.54957357153538</v>
      </c>
      <c r="N176" s="310">
        <f t="shared" si="76"/>
        <v>-129.87828314377398</v>
      </c>
      <c r="O176" s="310">
        <f t="shared" si="76"/>
        <v>-140.7029552972777</v>
      </c>
      <c r="P176" s="310">
        <f t="shared" si="76"/>
        <v>-151.02304963522198</v>
      </c>
      <c r="Q176" s="310">
        <f t="shared" si="76"/>
        <v>-160.83802322091728</v>
      </c>
      <c r="R176" s="310">
        <f t="shared" si="76"/>
        <v>-170.14733056587153</v>
      </c>
      <c r="S176" s="310">
        <f t="shared" si="76"/>
        <v>-178.95042361779682</v>
      </c>
      <c r="T176" s="310">
        <f t="shared" si="76"/>
        <v>-187.24675174855946</v>
      </c>
      <c r="U176" s="310">
        <f t="shared" si="76"/>
        <v>-195.05340419298309</v>
      </c>
      <c r="V176" s="310">
        <f t="shared" si="76"/>
        <v>-202.38956647761955</v>
      </c>
      <c r="W176" s="310">
        <f t="shared" si="76"/>
        <v>-209.2548558777614</v>
      </c>
      <c r="X176" s="310">
        <f t="shared" si="76"/>
        <v>-215.64888786989505</v>
      </c>
      <c r="Y176" s="310">
        <f t="shared" si="76"/>
        <v>-221.57127612324641</v>
      </c>
      <c r="Z176" s="310">
        <f t="shared" si="76"/>
        <v>-219.24044507194108</v>
      </c>
      <c r="AA176" s="310">
        <f t="shared" si="76"/>
        <v>-216.8262515354746</v>
      </c>
      <c r="AB176" s="310">
        <f t="shared" si="76"/>
        <v>-214.32830371016669</v>
      </c>
      <c r="AC176" s="310">
        <f t="shared" si="76"/>
        <v>-211.74620795085983</v>
      </c>
      <c r="AD176" s="310">
        <f t="shared" si="76"/>
        <v>-209.07956876226419</v>
      </c>
      <c r="AE176" s="310">
        <f t="shared" si="76"/>
        <v>-206.32798879026211</v>
      </c>
      <c r="AF176" s="310">
        <f t="shared" si="76"/>
        <v>-203.49106881317161</v>
      </c>
      <c r="AG176" s="310">
        <f t="shared" si="76"/>
        <v>-200.56840773296875</v>
      </c>
      <c r="AH176" s="310">
        <f t="shared" si="76"/>
        <v>-197.55960256646893</v>
      </c>
      <c r="AI176" s="310">
        <f t="shared" si="76"/>
        <v>-194.46424843646653</v>
      </c>
      <c r="AJ176" s="310">
        <f t="shared" si="76"/>
        <v>-191.28193856283312</v>
      </c>
      <c r="AK176" s="310">
        <f t="shared" si="76"/>
        <v>-188.01226425357359</v>
      </c>
      <c r="AL176" s="310">
        <f t="shared" si="76"/>
        <v>-184.65481489584053</v>
      </c>
      <c r="AM176" s="310">
        <f t="shared" si="76"/>
        <v>-181.2091779469061</v>
      </c>
      <c r="AN176" s="310">
        <f t="shared" si="76"/>
        <v>-177.67493892509162</v>
      </c>
      <c r="AO176" s="310">
        <f t="shared" si="76"/>
        <v>-174.05168140065462</v>
      </c>
      <c r="AP176" s="310">
        <f t="shared" si="76"/>
        <v>-170.33898698663273</v>
      </c>
      <c r="AQ176" s="310">
        <f t="shared" si="76"/>
        <v>-166.53643532964492</v>
      </c>
      <c r="AR176" s="310">
        <f t="shared" si="76"/>
        <v>-162.64360410064924</v>
      </c>
      <c r="AS176" s="310">
        <f t="shared" si="76"/>
        <v>-158.66006898565726</v>
      </c>
      <c r="AT176" s="310">
        <f t="shared" si="76"/>
        <v>-154.58540367640478</v>
      </c>
      <c r="AU176" s="310">
        <f t="shared" si="76"/>
        <v>-150.4191798609788</v>
      </c>
      <c r="AV176" s="310">
        <f t="shared" si="76"/>
        <v>-146.1609672144003</v>
      </c>
      <c r="AW176" s="310">
        <f t="shared" si="76"/>
        <v>-141.81033338916285</v>
      </c>
      <c r="AX176" s="310">
        <f t="shared" si="76"/>
        <v>-137.36684400572676</v>
      </c>
      <c r="AY176" s="310">
        <f t="shared" si="76"/>
        <v>-132.8300626429685</v>
      </c>
      <c r="AZ176" s="310">
        <f t="shared" si="76"/>
        <v>-128.19955082858525</v>
      </c>
      <c r="BA176" s="310">
        <f t="shared" si="76"/>
        <v>-123.47486802945437</v>
      </c>
      <c r="BB176" s="310">
        <f t="shared" si="76"/>
        <v>-118.65557164194756</v>
      </c>
      <c r="BC176" s="310">
        <f t="shared" si="76"/>
        <v>-113.74121698219945</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3.5646214606188695</v>
      </c>
      <c r="D178" s="312">
        <f t="shared" ref="D178:BC178" si="77">NPV($D$28,D175)</f>
        <v>-6.0979047046751518</v>
      </c>
      <c r="E178" s="312">
        <f t="shared" si="77"/>
        <v>-6.7431345776005678</v>
      </c>
      <c r="F178" s="312">
        <f t="shared" si="77"/>
        <v>-14.465260724968234</v>
      </c>
      <c r="G178" s="312">
        <f t="shared" si="77"/>
        <v>-13.994014010744417</v>
      </c>
      <c r="H178" s="312">
        <f t="shared" si="77"/>
        <v>-13.52227653562824</v>
      </c>
      <c r="I178" s="312">
        <f t="shared" si="77"/>
        <v>-13.050045993043495</v>
      </c>
      <c r="J178" s="312">
        <f t="shared" si="77"/>
        <v>-12.57732006557308</v>
      </c>
      <c r="K178" s="312">
        <f t="shared" si="77"/>
        <v>-12.104096424908034</v>
      </c>
      <c r="L178" s="312">
        <f t="shared" si="77"/>
        <v>-11.630372731796333</v>
      </c>
      <c r="M178" s="312">
        <f t="shared" si="77"/>
        <v>-11.156146635991499</v>
      </c>
      <c r="N178" s="312">
        <f t="shared" si="77"/>
        <v>-10.681415776200849</v>
      </c>
      <c r="O178" s="312">
        <f t="shared" si="77"/>
        <v>-10.206177780033672</v>
      </c>
      <c r="P178" s="312">
        <f t="shared" si="77"/>
        <v>-9.7304302639489801</v>
      </c>
      <c r="Q178" s="312">
        <f t="shared" si="77"/>
        <v>-9.2541708332031778</v>
      </c>
      <c r="R178" s="312">
        <f t="shared" si="77"/>
        <v>-8.7773970817973446</v>
      </c>
      <c r="S178" s="312">
        <f t="shared" si="77"/>
        <v>-8.3001065924243811</v>
      </c>
      <c r="T178" s="312">
        <f t="shared" si="77"/>
        <v>-7.8222969364158459</v>
      </c>
      <c r="U178" s="312">
        <f t="shared" si="77"/>
        <v>-7.3606000795998874</v>
      </c>
      <c r="V178" s="312">
        <f t="shared" si="77"/>
        <v>-6.9169925369003078</v>
      </c>
      <c r="W178" s="312">
        <f t="shared" si="77"/>
        <v>-6.4730241374145274</v>
      </c>
      <c r="X178" s="312">
        <f t="shared" si="77"/>
        <v>-6.0286931851156336</v>
      </c>
      <c r="Y178" s="312">
        <f t="shared" si="77"/>
        <v>-5.5839979760054215</v>
      </c>
      <c r="Z178" s="312">
        <f t="shared" si="77"/>
        <v>2.1976532635350949</v>
      </c>
      <c r="AA178" s="312">
        <f t="shared" si="77"/>
        <v>2.2762526272548382</v>
      </c>
      <c r="AB178" s="312">
        <f t="shared" si="77"/>
        <v>2.3552214079840641</v>
      </c>
      <c r="AC178" s="312">
        <f t="shared" si="77"/>
        <v>2.4345613419827181</v>
      </c>
      <c r="AD178" s="312">
        <f t="shared" si="77"/>
        <v>2.5142741736711631</v>
      </c>
      <c r="AE178" s="312">
        <f t="shared" si="77"/>
        <v>2.5943616556685494</v>
      </c>
      <c r="AF178" s="312">
        <f t="shared" si="77"/>
        <v>2.6748255488313153</v>
      </c>
      <c r="AG178" s="312">
        <f t="shared" si="77"/>
        <v>2.7556676222919529</v>
      </c>
      <c r="AH178" s="312">
        <f t="shared" si="77"/>
        <v>2.8368896534978498</v>
      </c>
      <c r="AI178" s="312">
        <f t="shared" si="77"/>
        <v>2.9184934282504194</v>
      </c>
      <c r="AJ178" s="312">
        <f t="shared" si="77"/>
        <v>3.000480740744321</v>
      </c>
      <c r="AK178" s="312">
        <f t="shared" si="77"/>
        <v>3.0828533936069489</v>
      </c>
      <c r="AL178" s="312">
        <f t="shared" si="77"/>
        <v>3.1656131979380282</v>
      </c>
      <c r="AM178" s="312">
        <f t="shared" si="77"/>
        <v>3.248761973349469</v>
      </c>
      <c r="AN178" s="312">
        <f t="shared" si="77"/>
        <v>3.3323015480053342</v>
      </c>
      <c r="AO178" s="312">
        <f t="shared" si="77"/>
        <v>3.4162337586620892</v>
      </c>
      <c r="AP178" s="312">
        <f t="shared" si="77"/>
        <v>3.5005604507089294</v>
      </c>
      <c r="AQ178" s="312">
        <f t="shared" si="77"/>
        <v>3.5852834782083902</v>
      </c>
      <c r="AR178" s="312">
        <f t="shared" si="77"/>
        <v>3.6704047039370984</v>
      </c>
      <c r="AS178" s="312">
        <f t="shared" si="77"/>
        <v>3.7559259994267267</v>
      </c>
      <c r="AT178" s="312">
        <f t="shared" si="77"/>
        <v>3.8418492450051627</v>
      </c>
      <c r="AU178" s="312">
        <f t="shared" si="77"/>
        <v>3.9281763298378167</v>
      </c>
      <c r="AV178" s="312">
        <f t="shared" si="77"/>
        <v>4.0149091519691726</v>
      </c>
      <c r="AW178" s="312">
        <f t="shared" si="77"/>
        <v>4.1020496183645587</v>
      </c>
      <c r="AX178" s="312">
        <f t="shared" si="77"/>
        <v>4.1895996449520032</v>
      </c>
      <c r="AY178" s="312">
        <f t="shared" si="77"/>
        <v>4.2775611566644063</v>
      </c>
      <c r="AZ178" s="312">
        <f t="shared" si="77"/>
        <v>4.3659360874818542</v>
      </c>
      <c r="BA178" s="312">
        <f t="shared" si="77"/>
        <v>4.4547263804741437</v>
      </c>
      <c r="BB178" s="312">
        <f t="shared" si="77"/>
        <v>4.5439339878434977</v>
      </c>
      <c r="BC178" s="312">
        <f t="shared" si="77"/>
        <v>4.6335608709674894</v>
      </c>
    </row>
    <row r="179" spans="2:55" s="309" customFormat="1" ht="16.95" customHeight="1" outlineLevel="1" x14ac:dyDescent="0.3">
      <c r="B179" s="313" t="s">
        <v>469</v>
      </c>
      <c r="C179" s="312">
        <f>C178</f>
        <v>3.5646214606188695</v>
      </c>
      <c r="D179" s="312">
        <f t="shared" ref="D179" si="78">C179+D178</f>
        <v>-2.5332832440562822</v>
      </c>
      <c r="E179" s="312">
        <f t="shared" ref="E179" si="79">D179+E178</f>
        <v>-9.2764178216568496</v>
      </c>
      <c r="F179" s="312">
        <f t="shared" ref="F179" si="80">E179+F178</f>
        <v>-23.741678546625081</v>
      </c>
      <c r="G179" s="312">
        <f t="shared" ref="G179" si="81">F179+G178</f>
        <v>-37.735692557369497</v>
      </c>
      <c r="H179" s="312">
        <f t="shared" ref="H179" si="82">G179+H178</f>
        <v>-51.25796909299774</v>
      </c>
      <c r="I179" s="312">
        <f t="shared" ref="I179" si="83">H179+I178</f>
        <v>-64.308015086041237</v>
      </c>
      <c r="J179" s="312">
        <f t="shared" ref="J179" si="84">I179+J178</f>
        <v>-76.885335151614314</v>
      </c>
      <c r="K179" s="312">
        <f t="shared" ref="K179" si="85">J179+K178</f>
        <v>-88.98943157652235</v>
      </c>
      <c r="L179" s="312">
        <f t="shared" ref="L179" si="86">K179+L178</f>
        <v>-100.61980430831868</v>
      </c>
      <c r="M179" s="312">
        <f t="shared" ref="M179" si="87">L179+M178</f>
        <v>-111.77595094431018</v>
      </c>
      <c r="N179" s="312">
        <f t="shared" ref="N179" si="88">M179+N178</f>
        <v>-122.45736672051103</v>
      </c>
      <c r="O179" s="312">
        <f t="shared" ref="O179" si="89">N179+O178</f>
        <v>-132.6635445005447</v>
      </c>
      <c r="P179" s="312">
        <f t="shared" ref="P179" si="90">O179+P178</f>
        <v>-142.39397476449369</v>
      </c>
      <c r="Q179" s="312">
        <f t="shared" ref="Q179" si="91">P179+Q178</f>
        <v>-151.64814559769687</v>
      </c>
      <c r="R179" s="312">
        <f t="shared" ref="R179" si="92">Q179+R178</f>
        <v>-160.42554267949421</v>
      </c>
      <c r="S179" s="312">
        <f t="shared" ref="S179" si="93">R179+S178</f>
        <v>-168.7256492719186</v>
      </c>
      <c r="T179" s="312">
        <f t="shared" ref="T179" si="94">S179+T178</f>
        <v>-176.54794620833445</v>
      </c>
      <c r="U179" s="312">
        <f t="shared" ref="U179" si="95">T179+U178</f>
        <v>-183.90854628793434</v>
      </c>
      <c r="V179" s="312">
        <f t="shared" ref="V179" si="96">U179+V178</f>
        <v>-190.82553882483464</v>
      </c>
      <c r="W179" s="312">
        <f t="shared" ref="W179" si="97">V179+W178</f>
        <v>-197.29856296224918</v>
      </c>
      <c r="X179" s="312">
        <f t="shared" ref="X179" si="98">W179+X178</f>
        <v>-203.32725614736481</v>
      </c>
      <c r="Y179" s="312">
        <f t="shared" ref="Y179" si="99">X179+Y178</f>
        <v>-208.91125412337024</v>
      </c>
      <c r="Z179" s="312">
        <f t="shared" ref="Z179" si="100">Y179+Z178</f>
        <v>-206.71360085983514</v>
      </c>
      <c r="AA179" s="312">
        <f t="shared" ref="AA179" si="101">Z179+AA178</f>
        <v>-204.43734823258029</v>
      </c>
      <c r="AB179" s="312">
        <f t="shared" ref="AB179" si="102">AA179+AB178</f>
        <v>-202.08212682459623</v>
      </c>
      <c r="AC179" s="312">
        <f t="shared" ref="AC179" si="103">AB179+AC178</f>
        <v>-199.64756548261352</v>
      </c>
      <c r="AD179" s="312">
        <f t="shared" ref="AD179" si="104">AC179+AD178</f>
        <v>-197.13329130894235</v>
      </c>
      <c r="AE179" s="312">
        <f t="shared" ref="AE179" si="105">AD179+AE178</f>
        <v>-194.53892965327381</v>
      </c>
      <c r="AF179" s="312">
        <f t="shared" ref="AF179" si="106">AE179+AF178</f>
        <v>-191.8641041044425</v>
      </c>
      <c r="AG179" s="312">
        <f t="shared" ref="AG179" si="107">AF179+AG178</f>
        <v>-189.10843648215055</v>
      </c>
      <c r="AH179" s="312">
        <f t="shared" ref="AH179" si="108">AG179+AH178</f>
        <v>-186.2715468286527</v>
      </c>
      <c r="AI179" s="312">
        <f t="shared" ref="AI179" si="109">AH179+AI178</f>
        <v>-183.35305340040227</v>
      </c>
      <c r="AJ179" s="312">
        <f t="shared" ref="AJ179" si="110">AI179+AJ178</f>
        <v>-180.35257265965797</v>
      </c>
      <c r="AK179" s="312">
        <f t="shared" ref="AK179" si="111">AJ179+AK178</f>
        <v>-177.26971926605103</v>
      </c>
      <c r="AL179" s="312">
        <f t="shared" ref="AL179" si="112">AK179+AL178</f>
        <v>-174.104106068113</v>
      </c>
      <c r="AM179" s="312">
        <f t="shared" ref="AM179" si="113">AL179+AM178</f>
        <v>-170.85534409476352</v>
      </c>
      <c r="AN179" s="312">
        <f t="shared" ref="AN179" si="114">AM179+AN178</f>
        <v>-167.52304254675818</v>
      </c>
      <c r="AO179" s="312">
        <f t="shared" ref="AO179" si="115">AN179+AO178</f>
        <v>-164.10680878809609</v>
      </c>
      <c r="AP179" s="312">
        <f t="shared" ref="AP179" si="116">AO179+AP178</f>
        <v>-160.60624833738717</v>
      </c>
      <c r="AQ179" s="312">
        <f t="shared" ref="AQ179" si="117">AP179+AQ178</f>
        <v>-157.02096485917878</v>
      </c>
      <c r="AR179" s="312">
        <f t="shared" ref="AR179" si="118">AQ179+AR178</f>
        <v>-153.35056015524168</v>
      </c>
      <c r="AS179" s="312">
        <f t="shared" ref="AS179" si="119">AR179+AS178</f>
        <v>-149.59463415581496</v>
      </c>
      <c r="AT179" s="312">
        <f t="shared" ref="AT179" si="120">AS179+AT178</f>
        <v>-145.75278491080979</v>
      </c>
      <c r="AU179" s="312">
        <f t="shared" ref="AU179" si="121">AT179+AU178</f>
        <v>-141.82460858097198</v>
      </c>
      <c r="AV179" s="312">
        <f t="shared" ref="AV179" si="122">AU179+AV178</f>
        <v>-137.80969942900282</v>
      </c>
      <c r="AW179" s="312">
        <f t="shared" ref="AW179" si="123">AV179+AW178</f>
        <v>-133.70764981063826</v>
      </c>
      <c r="AX179" s="312">
        <f t="shared" ref="AX179" si="124">AW179+AX178</f>
        <v>-129.51805016568625</v>
      </c>
      <c r="AY179" s="312">
        <f t="shared" ref="AY179" si="125">AX179+AY178</f>
        <v>-125.24048900902184</v>
      </c>
      <c r="AZ179" s="312">
        <f t="shared" ref="AZ179" si="126">AY179+AZ178</f>
        <v>-120.87455292153999</v>
      </c>
      <c r="BA179" s="312">
        <f t="shared" ref="BA179" si="127">AZ179+BA178</f>
        <v>-116.41982654106585</v>
      </c>
      <c r="BB179" s="312">
        <f t="shared" ref="BB179" si="128">BA179+BB178</f>
        <v>-111.87589255322234</v>
      </c>
      <c r="BC179" s="312">
        <f t="shared" ref="BC179" si="129">BB179+BC178</f>
        <v>-107.24233168225486</v>
      </c>
    </row>
    <row r="180" spans="2:55" s="206" customFormat="1" ht="16.95" customHeight="1" outlineLevel="1" x14ac:dyDescent="0.3">
      <c r="B180" s="206" t="s">
        <v>416</v>
      </c>
      <c r="C180" s="307">
        <f>C175/(1+$D$28)^C32</f>
        <v>3.7806375211323728</v>
      </c>
      <c r="D180" s="307">
        <f t="shared" ref="D180:BC180" si="130">D175/(1+$D$28)^D32</f>
        <v>-6.0979047046751518</v>
      </c>
      <c r="E180" s="307">
        <f t="shared" si="130"/>
        <v>-6.3578489323030061</v>
      </c>
      <c r="F180" s="307">
        <f t="shared" si="130"/>
        <v>-12.859468540029054</v>
      </c>
      <c r="G180" s="307">
        <f t="shared" si="130"/>
        <v>-11.729714350901583</v>
      </c>
      <c r="H180" s="307">
        <f t="shared" si="130"/>
        <v>-10.686692719251761</v>
      </c>
      <c r="I180" s="307">
        <f t="shared" si="130"/>
        <v>-9.7242010270621471</v>
      </c>
      <c r="J180" s="307">
        <f t="shared" si="130"/>
        <v>-8.8364612277439516</v>
      </c>
      <c r="K180" s="307">
        <f t="shared" si="130"/>
        <v>-8.0180916346769315</v>
      </c>
      <c r="L180" s="307">
        <f t="shared" si="130"/>
        <v>-7.2640805445248855</v>
      </c>
      <c r="M180" s="307">
        <f t="shared" si="130"/>
        <v>-6.5697615779173892</v>
      </c>
      <c r="N180" s="307">
        <f t="shared" si="130"/>
        <v>-5.9307906275068509</v>
      </c>
      <c r="O180" s="307">
        <f t="shared" si="130"/>
        <v>-5.3431243103649573</v>
      </c>
      <c r="P180" s="307">
        <f t="shared" si="130"/>
        <v>-4.8029998282015756</v>
      </c>
      <c r="Q180" s="307">
        <f t="shared" si="130"/>
        <v>-4.3069161450007316</v>
      </c>
      <c r="R180" s="307">
        <f t="shared" si="130"/>
        <v>-3.8516163973962745</v>
      </c>
      <c r="S180" s="307">
        <f t="shared" si="130"/>
        <v>-3.4340714584792482</v>
      </c>
      <c r="T180" s="307">
        <f t="shared" si="130"/>
        <v>-3.0514645807612291</v>
      </c>
      <c r="U180" s="307">
        <f t="shared" si="130"/>
        <v>-2.7072953337951731</v>
      </c>
      <c r="V180" s="307">
        <f t="shared" si="130"/>
        <v>-2.3987671735562701</v>
      </c>
      <c r="W180" s="307">
        <f t="shared" si="130"/>
        <v>-2.1165395764192514</v>
      </c>
      <c r="X180" s="307">
        <f t="shared" si="130"/>
        <v>-1.8586205149811503</v>
      </c>
      <c r="Y180" s="307">
        <f t="shared" si="130"/>
        <v>-1.6231594096784709</v>
      </c>
      <c r="Z180" s="307">
        <f t="shared" si="130"/>
        <v>0.60231471178861373</v>
      </c>
      <c r="AA180" s="307">
        <f t="shared" si="130"/>
        <v>0.58821099211599581</v>
      </c>
      <c r="AB180" s="307">
        <f t="shared" si="130"/>
        <v>0.57384261042750628</v>
      </c>
      <c r="AC180" s="307">
        <f t="shared" si="130"/>
        <v>0.55928111130866165</v>
      </c>
      <c r="AD180" s="307">
        <f t="shared" si="130"/>
        <v>0.54459097766495956</v>
      </c>
      <c r="AE180" s="307">
        <f t="shared" si="130"/>
        <v>0.5298301909457398</v>
      </c>
      <c r="AF180" s="307">
        <f t="shared" si="130"/>
        <v>0.51505075109725962</v>
      </c>
      <c r="AG180" s="307">
        <f t="shared" si="130"/>
        <v>0.50029915898138722</v>
      </c>
      <c r="AH180" s="307">
        <f t="shared" si="130"/>
        <v>0.48561686381695274</v>
      </c>
      <c r="AI180" s="307">
        <f t="shared" si="130"/>
        <v>0.47104067803302896</v>
      </c>
      <c r="AJ180" s="307">
        <f t="shared" si="130"/>
        <v>0.45660316176622956</v>
      </c>
      <c r="AK180" s="307">
        <f t="shared" si="130"/>
        <v>0.4423329790871367</v>
      </c>
      <c r="AL180" s="307">
        <f t="shared" si="130"/>
        <v>0.42825522790329423</v>
      </c>
      <c r="AM180" s="307">
        <f t="shared" si="130"/>
        <v>0.41439174535747242</v>
      </c>
      <c r="AN180" s="307">
        <f t="shared" si="130"/>
        <v>0.4007613904193737</v>
      </c>
      <c r="AO180" s="307">
        <f t="shared" si="130"/>
        <v>0.38738030525624634</v>
      </c>
      <c r="AP180" s="307">
        <f t="shared" si="130"/>
        <v>0.37426215686235925</v>
      </c>
      <c r="AQ180" s="307">
        <f t="shared" si="130"/>
        <v>0.36141836032868335</v>
      </c>
      <c r="AR180" s="307">
        <f t="shared" si="130"/>
        <v>0.34885828504180194</v>
      </c>
      <c r="AS180" s="307">
        <f t="shared" si="130"/>
        <v>0.33658944501479587</v>
      </c>
      <c r="AT180" s="307">
        <f t="shared" si="130"/>
        <v>0.32461767447213824</v>
      </c>
      <c r="AU180" s="307">
        <f t="shared" si="130"/>
        <v>0.31294728973516273</v>
      </c>
      <c r="AV180" s="307">
        <f t="shared" si="130"/>
        <v>0.30158123838413692</v>
      </c>
      <c r="AW180" s="307">
        <f t="shared" si="130"/>
        <v>0.29052123660700152</v>
      </c>
      <c r="AX180" s="307">
        <f t="shared" si="130"/>
        <v>0.27976789558318649</v>
      </c>
      <c r="AY180" s="307">
        <f t="shared" si="130"/>
        <v>0.26932083769331977</v>
      </c>
      <c r="AZ180" s="307">
        <f t="shared" si="130"/>
        <v>0.25917880329177317</v>
      </c>
      <c r="BA180" s="307">
        <f t="shared" si="130"/>
        <v>0.24933974872869641</v>
      </c>
      <c r="BB180" s="307">
        <f t="shared" si="130"/>
        <v>0.23980093626118099</v>
      </c>
      <c r="BC180" s="307">
        <f t="shared" si="130"/>
        <v>0.23055901644928781</v>
      </c>
    </row>
    <row r="181" spans="2:55" s="206" customFormat="1" ht="16.95" customHeight="1" outlineLevel="1" x14ac:dyDescent="0.3">
      <c r="B181" s="300" t="s">
        <v>417</v>
      </c>
      <c r="C181" s="307">
        <f>C180</f>
        <v>3.7806375211323728</v>
      </c>
      <c r="D181" s="312">
        <f t="shared" ref="D181" si="131">C181+D180</f>
        <v>-2.3172671835427789</v>
      </c>
      <c r="E181" s="312">
        <f t="shared" ref="E181" si="132">D181+E180</f>
        <v>-8.6751161158457855</v>
      </c>
      <c r="F181" s="312">
        <f t="shared" ref="F181" si="133">E181+F180</f>
        <v>-21.534584655874838</v>
      </c>
      <c r="G181" s="312">
        <f t="shared" ref="G181" si="134">F181+G180</f>
        <v>-33.264299006776419</v>
      </c>
      <c r="H181" s="312">
        <f t="shared" ref="H181" si="135">G181+H180</f>
        <v>-43.950991726028178</v>
      </c>
      <c r="I181" s="312">
        <f t="shared" ref="I181" si="136">H181+I180</f>
        <v>-53.675192753090329</v>
      </c>
      <c r="J181" s="312">
        <f t="shared" ref="J181" si="137">I181+J180</f>
        <v>-62.511653980834282</v>
      </c>
      <c r="K181" s="312">
        <f t="shared" ref="K181" si="138">J181+K180</f>
        <v>-70.529745615511217</v>
      </c>
      <c r="L181" s="312">
        <f t="shared" ref="L181" si="139">K181+L180</f>
        <v>-77.793826160036105</v>
      </c>
      <c r="M181" s="312">
        <f t="shared" ref="M181" si="140">L181+M180</f>
        <v>-84.363587737953495</v>
      </c>
      <c r="N181" s="312">
        <f t="shared" ref="N181" si="141">M181+N180</f>
        <v>-90.294378365460346</v>
      </c>
      <c r="O181" s="312">
        <f t="shared" ref="O181" si="142">N181+O180</f>
        <v>-95.637502675825303</v>
      </c>
      <c r="P181" s="312">
        <f t="shared" ref="P181" si="143">O181+P180</f>
        <v>-100.44050250402688</v>
      </c>
      <c r="Q181" s="312">
        <f t="shared" ref="Q181" si="144">P181+Q180</f>
        <v>-104.74741864902761</v>
      </c>
      <c r="R181" s="312">
        <f t="shared" ref="R181" si="145">Q181+R180</f>
        <v>-108.59903504642388</v>
      </c>
      <c r="S181" s="312">
        <f t="shared" ref="S181" si="146">R181+S180</f>
        <v>-112.03310650490313</v>
      </c>
      <c r="T181" s="312">
        <f t="shared" ref="T181" si="147">S181+T180</f>
        <v>-115.08457108566436</v>
      </c>
      <c r="U181" s="312">
        <f t="shared" ref="U181" si="148">T181+U180</f>
        <v>-117.79186641945954</v>
      </c>
      <c r="V181" s="312">
        <f t="shared" ref="V181" si="149">U181+V180</f>
        <v>-120.1906335930158</v>
      </c>
      <c r="W181" s="312">
        <f t="shared" ref="W181" si="150">V181+W180</f>
        <v>-122.30717316943506</v>
      </c>
      <c r="X181" s="312">
        <f t="shared" ref="X181" si="151">W181+X180</f>
        <v>-124.16579368441622</v>
      </c>
      <c r="Y181" s="312">
        <f t="shared" ref="Y181" si="152">X181+Y180</f>
        <v>-125.78895309409468</v>
      </c>
      <c r="Z181" s="312">
        <f t="shared" ref="Z181" si="153">Y181+Z180</f>
        <v>-125.18663838230607</v>
      </c>
      <c r="AA181" s="312">
        <f t="shared" ref="AA181" si="154">Z181+AA180</f>
        <v>-124.59842739019008</v>
      </c>
      <c r="AB181" s="312">
        <f t="shared" ref="AB181" si="155">AA181+AB180</f>
        <v>-124.02458477976258</v>
      </c>
      <c r="AC181" s="312">
        <f t="shared" ref="AC181" si="156">AB181+AC180</f>
        <v>-123.46530366845391</v>
      </c>
      <c r="AD181" s="312">
        <f t="shared" ref="AD181" si="157">AC181+AD180</f>
        <v>-122.92071269078896</v>
      </c>
      <c r="AE181" s="312">
        <f t="shared" ref="AE181" si="158">AD181+AE180</f>
        <v>-122.39088249984322</v>
      </c>
      <c r="AF181" s="312">
        <f t="shared" ref="AF181" si="159">AE181+AF180</f>
        <v>-121.87583174874595</v>
      </c>
      <c r="AG181" s="312">
        <f t="shared" ref="AG181" si="160">AF181+AG180</f>
        <v>-121.37553258976456</v>
      </c>
      <c r="AH181" s="312">
        <f t="shared" ref="AH181" si="161">AG181+AH180</f>
        <v>-120.8899157259476</v>
      </c>
      <c r="AI181" s="312">
        <f t="shared" ref="AI181" si="162">AH181+AI180</f>
        <v>-120.41887504791457</v>
      </c>
      <c r="AJ181" s="312">
        <f t="shared" ref="AJ181" si="163">AI181+AJ180</f>
        <v>-119.96227188614834</v>
      </c>
      <c r="AK181" s="312">
        <f t="shared" ref="AK181" si="164">AJ181+AK180</f>
        <v>-119.5199389070612</v>
      </c>
      <c r="AL181" s="312">
        <f t="shared" ref="AL181" si="165">AK181+AL180</f>
        <v>-119.09168367915791</v>
      </c>
      <c r="AM181" s="312">
        <f t="shared" ref="AM181" si="166">AL181+AM180</f>
        <v>-118.67729193380043</v>
      </c>
      <c r="AN181" s="312">
        <f t="shared" ref="AN181" si="167">AM181+AN180</f>
        <v>-118.27653054338106</v>
      </c>
      <c r="AO181" s="312">
        <f t="shared" ref="AO181" si="168">AN181+AO180</f>
        <v>-117.88915023812481</v>
      </c>
      <c r="AP181" s="312">
        <f t="shared" ref="AP181" si="169">AO181+AP180</f>
        <v>-117.51488808126246</v>
      </c>
      <c r="AQ181" s="312">
        <f t="shared" ref="AQ181" si="170">AP181+AQ180</f>
        <v>-117.15346972093377</v>
      </c>
      <c r="AR181" s="312">
        <f t="shared" ref="AR181" si="171">AQ181+AR180</f>
        <v>-116.80461143589197</v>
      </c>
      <c r="AS181" s="312">
        <f t="shared" ref="AS181" si="172">AR181+AS180</f>
        <v>-116.46802199087718</v>
      </c>
      <c r="AT181" s="312">
        <f t="shared" ref="AT181" si="173">AS181+AT180</f>
        <v>-116.14340431640504</v>
      </c>
      <c r="AU181" s="312">
        <f t="shared" ref="AU181" si="174">AT181+AU180</f>
        <v>-115.83045702666988</v>
      </c>
      <c r="AV181" s="312">
        <f t="shared" ref="AV181" si="175">AU181+AV180</f>
        <v>-115.52887578828575</v>
      </c>
      <c r="AW181" s="312">
        <f t="shared" ref="AW181" si="176">AV181+AW180</f>
        <v>-115.23835455167874</v>
      </c>
      <c r="AX181" s="312">
        <f t="shared" ref="AX181" si="177">AW181+AX180</f>
        <v>-114.95858665609555</v>
      </c>
      <c r="AY181" s="312">
        <f t="shared" ref="AY181" si="178">AX181+AY180</f>
        <v>-114.68926581840223</v>
      </c>
      <c r="AZ181" s="312">
        <f t="shared" ref="AZ181" si="179">AY181+AZ180</f>
        <v>-114.43008701511046</v>
      </c>
      <c r="BA181" s="312">
        <f t="shared" ref="BA181" si="180">AZ181+BA180</f>
        <v>-114.18074726638176</v>
      </c>
      <c r="BB181" s="312">
        <f t="shared" ref="BB181" si="181">BA181+BB180</f>
        <v>-113.94094633012058</v>
      </c>
      <c r="BC181" s="312">
        <f t="shared" ref="BC181" si="182">BB181+BC180</f>
        <v>-113.71038731367129</v>
      </c>
    </row>
    <row r="182" spans="2:55" s="206" customFormat="1" ht="16.95" customHeight="1" outlineLevel="1" x14ac:dyDescent="0.3">
      <c r="B182" s="300" t="s">
        <v>418</v>
      </c>
      <c r="C182" s="307">
        <f t="shared" ref="C182:AH182" si="183">C167/(1+$C$28)^C32</f>
        <v>39.873567869288529</v>
      </c>
      <c r="D182" s="307">
        <f t="shared" si="183"/>
        <v>54.668645475258266</v>
      </c>
      <c r="E182" s="307">
        <f t="shared" si="183"/>
        <v>46.298614935429448</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1</v>
      </c>
      <c r="AL183" s="322">
        <f t="shared" si="186"/>
        <v>1</v>
      </c>
      <c r="AM183" s="322">
        <f t="shared" si="186"/>
        <v>1</v>
      </c>
      <c r="AN183" s="322">
        <f t="shared" si="186"/>
        <v>1</v>
      </c>
      <c r="AO183" s="322">
        <f t="shared" si="186"/>
        <v>1</v>
      </c>
      <c r="AP183" s="322">
        <f t="shared" si="186"/>
        <v>1</v>
      </c>
      <c r="AQ183" s="322">
        <f t="shared" si="186"/>
        <v>1</v>
      </c>
      <c r="AR183" s="322">
        <f t="shared" si="186"/>
        <v>1</v>
      </c>
      <c r="AS183" s="322">
        <f t="shared" si="186"/>
        <v>1</v>
      </c>
      <c r="AT183" s="322">
        <f t="shared" si="186"/>
        <v>1</v>
      </c>
      <c r="AU183" s="322">
        <f t="shared" si="186"/>
        <v>1</v>
      </c>
      <c r="AV183" s="322">
        <f t="shared" si="186"/>
        <v>1</v>
      </c>
      <c r="AW183" s="322">
        <f t="shared" si="186"/>
        <v>1</v>
      </c>
      <c r="AX183" s="322">
        <f t="shared" si="186"/>
        <v>1</v>
      </c>
      <c r="AY183" s="322">
        <f t="shared" si="186"/>
        <v>1</v>
      </c>
      <c r="AZ183" s="322">
        <f t="shared" si="186"/>
        <v>1</v>
      </c>
      <c r="BA183" s="322">
        <f t="shared" si="186"/>
        <v>1</v>
      </c>
      <c r="BB183" s="322">
        <f t="shared" si="186"/>
        <v>1</v>
      </c>
      <c r="BC183" s="322">
        <f t="shared" si="186"/>
        <v>1</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2.0037250489984464</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250</v>
      </c>
      <c r="D4" s="1891" t="str">
        <f>D104</f>
        <v>t/d</v>
      </c>
      <c r="E4" s="1892"/>
      <c r="F4" s="1892"/>
      <c r="G4" s="1892"/>
      <c r="H4" s="1893"/>
      <c r="I4" s="1192"/>
    </row>
    <row r="5" spans="1:60" ht="19.95" customHeight="1" x14ac:dyDescent="0.3">
      <c r="B5" s="1894" t="s">
        <v>1119</v>
      </c>
      <c r="C5" s="1895">
        <f>'R&amp;C-Painel de Controle'!D33</f>
        <v>292.94394556662456</v>
      </c>
      <c r="D5" s="1896" t="s">
        <v>342</v>
      </c>
      <c r="E5" s="1897"/>
      <c r="F5" s="1897"/>
      <c r="G5" s="1897"/>
      <c r="H5" s="1898"/>
      <c r="I5" s="1192"/>
    </row>
    <row r="6" spans="1:60" s="1998" customFormat="1" ht="19.95" customHeight="1" x14ac:dyDescent="0.3">
      <c r="A6" s="383"/>
      <c r="B6" s="1894" t="s">
        <v>1120</v>
      </c>
      <c r="C6" s="1895">
        <f>'R&amp;C-Painel de Controle'!H33</f>
        <v>318.85362727861343</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1090</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2935388.259928742</v>
      </c>
      <c r="D16" s="1802">
        <f>'C-FCL Real'!C35</f>
        <v>78000</v>
      </c>
      <c r="E16" s="1787">
        <f>'C-FCL Real'!D35</f>
        <v>78366.599999999991</v>
      </c>
      <c r="F16" s="1787">
        <f>'C-FCL Real'!E35</f>
        <v>78734.923019999987</v>
      </c>
      <c r="G16" s="1787">
        <f>'C-FCL Real'!F35</f>
        <v>79104.977158193986</v>
      </c>
      <c r="H16" s="1787">
        <f>'C-FCL Real'!G35</f>
        <v>79476.770550837493</v>
      </c>
      <c r="I16" s="1787">
        <f>'C-FCL Real'!H35</f>
        <v>79850.311372426426</v>
      </c>
      <c r="J16" s="1787">
        <f>'C-FCL Real'!I35</f>
        <v>80225.607835876828</v>
      </c>
      <c r="K16" s="1787">
        <f>'C-FCL Real'!J35</f>
        <v>80602.668192705445</v>
      </c>
      <c r="L16" s="1787">
        <f>'C-FCL Real'!K35</f>
        <v>80981.500733211156</v>
      </c>
      <c r="M16" s="1787">
        <f>'C-FCL Real'!L35</f>
        <v>81362.113786657239</v>
      </c>
      <c r="N16" s="1787">
        <f>'C-FCL Real'!M35</f>
        <v>81744.515721454518</v>
      </c>
      <c r="O16" s="1787">
        <f>'C-FCL Real'!N35</f>
        <v>82128.714945345346</v>
      </c>
      <c r="P16" s="1787">
        <f>'C-FCL Real'!O35</f>
        <v>82514.719905588456</v>
      </c>
      <c r="Q16" s="1787">
        <f>'C-FCL Real'!P35</f>
        <v>82902.539089144717</v>
      </c>
      <c r="R16" s="1787">
        <f>'C-FCL Real'!Q35</f>
        <v>83292.18102286369</v>
      </c>
      <c r="S16" s="1787">
        <f>'C-FCL Real'!O35</f>
        <v>82514.719905588456</v>
      </c>
      <c r="T16" s="1787">
        <f>'C-FCL Real'!P35</f>
        <v>82902.539089144717</v>
      </c>
      <c r="U16" s="1787">
        <f>'C-FCL Real'!Q35</f>
        <v>83292.18102286369</v>
      </c>
      <c r="V16" s="1787">
        <f>'C-FCL Real'!R35</f>
        <v>83683.654273671142</v>
      </c>
      <c r="W16" s="1787">
        <f>'C-FCL Real'!S35</f>
        <v>84076.967448757394</v>
      </c>
      <c r="X16" s="1787">
        <f>'C-FCL Real'!T35</f>
        <v>84472.129195766553</v>
      </c>
      <c r="Y16" s="1787">
        <f>'C-FCL Real'!U35</f>
        <v>84869.148202986646</v>
      </c>
      <c r="Z16" s="1787">
        <f>'C-FCL Real'!V35</f>
        <v>85268.033199540674</v>
      </c>
      <c r="AA16" s="1787">
        <f>'C-FCL Real'!W35</f>
        <v>85668.792955578509</v>
      </c>
      <c r="AB16" s="1787">
        <f>'C-FCL Real'!X35</f>
        <v>86071.436282469716</v>
      </c>
      <c r="AC16" s="1787">
        <f>'C-FCL Real'!Y35</f>
        <v>86475.972032997321</v>
      </c>
      <c r="AD16" s="1787">
        <f>'C-FCL Real'!Z35</f>
        <v>86882.409101552403</v>
      </c>
      <c r="AE16" s="1787">
        <f>'C-FCL Real'!AA35</f>
        <v>87290.756424329695</v>
      </c>
      <c r="AF16" s="1787">
        <f>'C-FCL Real'!AB35</f>
        <v>87701.022979524045</v>
      </c>
      <c r="AG16" s="1787">
        <f>'C-FCL Real'!AC35</f>
        <v>88113.217787527799</v>
      </c>
      <c r="AH16" s="1787">
        <f>'C-FCL Real'!AD35</f>
        <v>88527.349911129175</v>
      </c>
      <c r="AI16" s="1787">
        <f>'C-FCL Real'!AE35</f>
        <v>88943.428455711473</v>
      </c>
      <c r="AJ16" s="1787">
        <f>'C-FCL Real'!AF35</f>
        <v>89361.462569453317</v>
      </c>
      <c r="AK16" s="1787">
        <f>'C-FCL Real'!AG35</f>
        <v>89781.461443529741</v>
      </c>
      <c r="AL16" s="1787">
        <f>'C-FCL Real'!AH35</f>
        <v>90203.434312314319</v>
      </c>
      <c r="AM16" s="1787">
        <f>'C-FCL Real'!AI35</f>
        <v>90627.390453582193</v>
      </c>
      <c r="AN16" s="1787">
        <f>'C-FCL Real'!AJ35</f>
        <v>91053.339188714017</v>
      </c>
      <c r="AO16" s="1787">
        <f>'C-FCL Real'!AK35</f>
        <v>91481.289882900965</v>
      </c>
      <c r="AP16" s="1787">
        <f>'C-FCL Real'!AL35</f>
        <v>91911.251945350596</v>
      </c>
      <c r="AQ16" s="1787">
        <f>'C-FCL Real'!AM35</f>
        <v>92343.23482949374</v>
      </c>
      <c r="AR16" s="1787">
        <f>'C-FCL Real'!AN35</f>
        <v>92777.248033192358</v>
      </c>
      <c r="AS16" s="1787">
        <f>'C-FCL Real'!AO35</f>
        <v>93213.301098948359</v>
      </c>
      <c r="AT16" s="1787">
        <f>'C-FCL Real'!AP35</f>
        <v>93651.403614113413</v>
      </c>
      <c r="AU16" s="1787">
        <f>'C-FCL Real'!AQ35</f>
        <v>94091.565211099733</v>
      </c>
      <c r="AV16" s="1787">
        <f>'C-FCL Real'!AR35</f>
        <v>94533.795567591893</v>
      </c>
      <c r="AW16" s="1787">
        <f>'C-FCL Real'!AS35</f>
        <v>94978.104406759565</v>
      </c>
      <c r="AX16" s="1787">
        <f>'C-FCL Real'!AT35</f>
        <v>95424.501497471327</v>
      </c>
      <c r="AY16" s="1787">
        <f>'C-FCL Real'!AU35</f>
        <v>95872.996654509436</v>
      </c>
      <c r="AZ16" s="1787">
        <f>'C-FCL Real'!AV35</f>
        <v>96323.599738785619</v>
      </c>
      <c r="BA16" s="1787">
        <f>'C-FCL Real'!AW35</f>
        <v>96776.32065755791</v>
      </c>
      <c r="BB16" s="1787">
        <f>'C-FCL Real'!AX35</f>
        <v>97231.16936464842</v>
      </c>
      <c r="BC16" s="1787">
        <f>'C-FCL Real'!AY35</f>
        <v>97688.155860662257</v>
      </c>
      <c r="BD16" s="1787">
        <f>'C-FCL Real'!AZ35</f>
        <v>98147.290193207358</v>
      </c>
      <c r="BE16" s="1787">
        <f>'C-FCL Real'!BA35</f>
        <v>98608.582457115423</v>
      </c>
      <c r="BF16" s="1787">
        <f>'C-FCL Real'!BB35</f>
        <v>99072.042794663852</v>
      </c>
      <c r="BG16" s="1787">
        <f>'C-FCL Real'!BC35</f>
        <v>99537.681395798762</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75.737729004247512</v>
      </c>
      <c r="B18" s="1794" t="str">
        <f>'C-FCL Real'!B63</f>
        <v>Dados de Capex</v>
      </c>
      <c r="C18" s="1809">
        <f>SUMIF($D$15:$BG$15,1,D18:BG18)</f>
        <v>222.31964055273269</v>
      </c>
      <c r="D18" s="1804">
        <f>'C-FCL Real'!C63</f>
        <v>56.962239813269335</v>
      </c>
      <c r="E18" s="51">
        <f>'C-FCL Real'!D63</f>
        <v>85.704816492212032</v>
      </c>
      <c r="F18" s="51">
        <f>'C-FCL Real'!E63</f>
        <v>79.652584247251326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69.015608715370433</v>
      </c>
      <c r="B19" s="1847" t="s">
        <v>1008</v>
      </c>
      <c r="C19" s="1808">
        <f>SUMIF($D$15:$BG$15,1,D19:BG19)</f>
        <v>202.58760757493411</v>
      </c>
      <c r="D19" s="1804">
        <f t="shared" ref="D19:AJ19" si="0">NPV($C$8,D18:D18)</f>
        <v>51.906542567221926</v>
      </c>
      <c r="E19" s="51">
        <f t="shared" si="0"/>
        <v>78.098064964654668</v>
      </c>
      <c r="F19" s="51">
        <f t="shared" si="0"/>
        <v>72.583000043057524</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1811">
        <f>C18*1000000/(C16/C43)</f>
        <v>2650.8205151486627</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256.8805210987972</v>
      </c>
      <c r="B21" s="1794" t="str">
        <f>'C-FCL Real'!B119</f>
        <v>Dados de Opex + Gestão do Contrato</v>
      </c>
      <c r="C21" s="1809">
        <f>SUMIF($D$15:$BG$15,1,D21:BG21)</f>
        <v>754.04406583778677</v>
      </c>
      <c r="D21" s="1804">
        <f>'C-FCL Real'!C119</f>
        <v>2.3642980000000002</v>
      </c>
      <c r="E21" s="51">
        <f>'C-FCL Real'!D119</f>
        <v>2.3642980000000002</v>
      </c>
      <c r="F21" s="51">
        <f>'C-FCL Real'!E119</f>
        <v>2.3642980000000002</v>
      </c>
      <c r="G21" s="51">
        <f>'C-FCL Real'!F119</f>
        <v>23.342224119930826</v>
      </c>
      <c r="H21" s="51">
        <f>'C-FCL Real'!G119</f>
        <v>23.342224119930826</v>
      </c>
      <c r="I21" s="51">
        <f>'C-FCL Real'!H119</f>
        <v>23.342224119930826</v>
      </c>
      <c r="J21" s="51">
        <f>'C-FCL Real'!I119</f>
        <v>23.342224119930826</v>
      </c>
      <c r="K21" s="51">
        <f>'C-FCL Real'!J119</f>
        <v>23.342224119930826</v>
      </c>
      <c r="L21" s="51">
        <f>'C-FCL Real'!K119</f>
        <v>23.342224119930826</v>
      </c>
      <c r="M21" s="51">
        <f>'C-FCL Real'!L119</f>
        <v>23.342224119930826</v>
      </c>
      <c r="N21" s="51">
        <f>'C-FCL Real'!M119</f>
        <v>23.342224119930826</v>
      </c>
      <c r="O21" s="51">
        <f>'C-FCL Real'!N119</f>
        <v>23.342224119930826</v>
      </c>
      <c r="P21" s="51">
        <f>'C-FCL Real'!O119</f>
        <v>23.342224119930826</v>
      </c>
      <c r="Q21" s="51">
        <f>'C-FCL Real'!P119</f>
        <v>23.342224119930826</v>
      </c>
      <c r="R21" s="51">
        <f>'C-FCL Real'!Q119</f>
        <v>23.342224119930826</v>
      </c>
      <c r="S21" s="51">
        <f>'C-FCL Real'!O119</f>
        <v>23.342224119930826</v>
      </c>
      <c r="T21" s="51">
        <f>'C-FCL Real'!P119</f>
        <v>23.342224119930826</v>
      </c>
      <c r="U21" s="51">
        <f>'C-FCL Real'!Q119</f>
        <v>23.342224119930826</v>
      </c>
      <c r="V21" s="51">
        <f>'C-FCL Real'!R119</f>
        <v>23.342224119930826</v>
      </c>
      <c r="W21" s="51">
        <f>'C-FCL Real'!S119</f>
        <v>23.342224119930826</v>
      </c>
      <c r="X21" s="51">
        <f>'C-FCL Real'!T119</f>
        <v>23.342224119930826</v>
      </c>
      <c r="Y21" s="51">
        <f>'C-FCL Real'!U119</f>
        <v>23.342224119930826</v>
      </c>
      <c r="Z21" s="51">
        <f>'C-FCL Real'!V119</f>
        <v>23.342224119930826</v>
      </c>
      <c r="AA21" s="51">
        <f>'C-FCL Real'!W119</f>
        <v>23.342224119930826</v>
      </c>
      <c r="AB21" s="51">
        <f>'C-FCL Real'!X119</f>
        <v>23.342224119930826</v>
      </c>
      <c r="AC21" s="51">
        <f>'C-FCL Real'!Y119</f>
        <v>23.342224119930826</v>
      </c>
      <c r="AD21" s="51">
        <f>'C-FCL Real'!Z119</f>
        <v>23.342224119930826</v>
      </c>
      <c r="AE21" s="51">
        <f>'C-FCL Real'!AA119</f>
        <v>23.342224119930826</v>
      </c>
      <c r="AF21" s="51">
        <f>'C-FCL Real'!AB119</f>
        <v>23.342224119930826</v>
      </c>
      <c r="AG21" s="51">
        <f>'C-FCL Real'!AC119</f>
        <v>23.342224119930826</v>
      </c>
      <c r="AH21" s="51">
        <f>'C-FCL Real'!AD119</f>
        <v>23.342224119930826</v>
      </c>
      <c r="AI21" s="51">
        <f>'C-FCL Real'!AE119</f>
        <v>23.342224119930826</v>
      </c>
      <c r="AJ21" s="1739">
        <f>'C-FCL Real'!AF119</f>
        <v>23.342224119930826</v>
      </c>
      <c r="AK21" s="51">
        <f>'C-FCL Real'!AG119</f>
        <v>23.342224119930826</v>
      </c>
      <c r="AL21" s="51">
        <f>'C-FCL Real'!AH119</f>
        <v>23.342224119930826</v>
      </c>
      <c r="AM21" s="51">
        <f>'C-FCL Real'!AI119</f>
        <v>23.342224119930826</v>
      </c>
      <c r="AN21" s="51">
        <f>'C-FCL Real'!AJ119</f>
        <v>23.342224119930826</v>
      </c>
      <c r="AO21" s="51">
        <f>'C-FCL Real'!AK119</f>
        <v>23.342224119930826</v>
      </c>
      <c r="AP21" s="51">
        <f>'C-FCL Real'!AL119</f>
        <v>23.342224119930826</v>
      </c>
      <c r="AQ21" s="51">
        <f>'C-FCL Real'!AM119</f>
        <v>23.342224119930826</v>
      </c>
      <c r="AR21" s="51">
        <f>'C-FCL Real'!AN119</f>
        <v>23.342224119930826</v>
      </c>
      <c r="AS21" s="51">
        <f>'C-FCL Real'!AO119</f>
        <v>23.342224119930826</v>
      </c>
      <c r="AT21" s="51">
        <f>'C-FCL Real'!AP119</f>
        <v>23.342224119930826</v>
      </c>
      <c r="AU21" s="51">
        <f>'C-FCL Real'!AQ119</f>
        <v>23.342224119930826</v>
      </c>
      <c r="AV21" s="51">
        <f>'C-FCL Real'!AR119</f>
        <v>23.342224119930826</v>
      </c>
      <c r="AW21" s="51">
        <f>'C-FCL Real'!AS119</f>
        <v>23.342224119930826</v>
      </c>
      <c r="AX21" s="51">
        <f>'C-FCL Real'!AT119</f>
        <v>23.342224119930826</v>
      </c>
      <c r="AY21" s="51">
        <f>'C-FCL Real'!AU119</f>
        <v>23.342224119930826</v>
      </c>
      <c r="AZ21" s="51">
        <f>'C-FCL Real'!AV119</f>
        <v>23.342224119930826</v>
      </c>
      <c r="BA21" s="51">
        <f>'C-FCL Real'!AW119</f>
        <v>23.342224119930826</v>
      </c>
      <c r="BB21" s="51">
        <f>'C-FCL Real'!AX119</f>
        <v>23.342224119930826</v>
      </c>
      <c r="BC21" s="51">
        <f>'C-FCL Real'!AY119</f>
        <v>23.342224119930826</v>
      </c>
      <c r="BD21" s="51">
        <f>'C-FCL Real'!AZ119</f>
        <v>23.342224119930826</v>
      </c>
      <c r="BE21" s="51">
        <f>'C-FCL Real'!BA119</f>
        <v>23.342224119930826</v>
      </c>
      <c r="BF21" s="51">
        <f>'C-FCL Real'!BB119</f>
        <v>23.342224119930826</v>
      </c>
      <c r="BG21" s="51">
        <f>'C-FCL Real'!BC119</f>
        <v>23.342224119930826</v>
      </c>
      <c r="BH21" s="51">
        <f>'C-FCL Real'!BD119</f>
        <v>0</v>
      </c>
    </row>
    <row r="22" spans="1:60" ht="15" hidden="1" customHeight="1" outlineLevel="1" x14ac:dyDescent="0.3">
      <c r="A22" s="1823">
        <f>C22*1000000/$C$16</f>
        <v>219.58858186266698</v>
      </c>
      <c r="B22" s="1847" t="s">
        <v>1009</v>
      </c>
      <c r="C22" s="1808">
        <f>SUMIF($D$15:$BG$15,1,D22:BG22)</f>
        <v>644.57774521407418</v>
      </c>
      <c r="D22" s="1804">
        <f t="shared" ref="D22:AJ22" si="1">NPV($C$8,D21:D21)</f>
        <v>2.1544541643885551</v>
      </c>
      <c r="E22" s="51">
        <f t="shared" si="1"/>
        <v>2.1544541643885551</v>
      </c>
      <c r="F22" s="51">
        <f t="shared" si="1"/>
        <v>2.1544541643885551</v>
      </c>
      <c r="G22" s="51">
        <f t="shared" si="1"/>
        <v>21.270479424030277</v>
      </c>
      <c r="H22" s="51">
        <f t="shared" si="1"/>
        <v>21.270479424030277</v>
      </c>
      <c r="I22" s="51">
        <f t="shared" si="1"/>
        <v>21.270479424030277</v>
      </c>
      <c r="J22" s="51">
        <f t="shared" si="1"/>
        <v>21.270479424030277</v>
      </c>
      <c r="K22" s="51">
        <f t="shared" si="1"/>
        <v>21.270479424030277</v>
      </c>
      <c r="L22" s="51">
        <f t="shared" si="1"/>
        <v>21.270479424030277</v>
      </c>
      <c r="M22" s="51">
        <f t="shared" si="1"/>
        <v>21.270479424030277</v>
      </c>
      <c r="N22" s="51">
        <f t="shared" si="1"/>
        <v>21.270479424030277</v>
      </c>
      <c r="O22" s="51">
        <f t="shared" si="1"/>
        <v>21.270479424030277</v>
      </c>
      <c r="P22" s="51">
        <f t="shared" si="1"/>
        <v>21.270479424030277</v>
      </c>
      <c r="Q22" s="51">
        <f t="shared" si="1"/>
        <v>21.270479424030277</v>
      </c>
      <c r="R22" s="51">
        <f t="shared" si="1"/>
        <v>21.270479424030277</v>
      </c>
      <c r="S22" s="51">
        <f t="shared" si="1"/>
        <v>21.270479424030277</v>
      </c>
      <c r="T22" s="51">
        <f t="shared" si="1"/>
        <v>21.270479424030277</v>
      </c>
      <c r="U22" s="51">
        <f t="shared" si="1"/>
        <v>21.270479424030277</v>
      </c>
      <c r="V22" s="51">
        <f t="shared" si="1"/>
        <v>21.270479424030277</v>
      </c>
      <c r="W22" s="51">
        <f t="shared" si="1"/>
        <v>21.270479424030277</v>
      </c>
      <c r="X22" s="51">
        <f t="shared" si="1"/>
        <v>21.270479424030277</v>
      </c>
      <c r="Y22" s="51">
        <f t="shared" si="1"/>
        <v>21.270479424030277</v>
      </c>
      <c r="Z22" s="51">
        <f t="shared" si="1"/>
        <v>21.270479424030277</v>
      </c>
      <c r="AA22" s="51">
        <f t="shared" si="1"/>
        <v>21.270479424030277</v>
      </c>
      <c r="AB22" s="51">
        <f t="shared" si="1"/>
        <v>21.270479424030277</v>
      </c>
      <c r="AC22" s="51">
        <f t="shared" si="1"/>
        <v>21.270479424030277</v>
      </c>
      <c r="AD22" s="51">
        <f t="shared" si="1"/>
        <v>21.270479424030277</v>
      </c>
      <c r="AE22" s="51">
        <f t="shared" si="1"/>
        <v>21.270479424030277</v>
      </c>
      <c r="AF22" s="51">
        <f t="shared" si="1"/>
        <v>21.270479424030277</v>
      </c>
      <c r="AG22" s="51">
        <f t="shared" si="1"/>
        <v>21.270479424030277</v>
      </c>
      <c r="AH22" s="51">
        <f t="shared" si="1"/>
        <v>21.270479424030277</v>
      </c>
      <c r="AI22" s="51">
        <f t="shared" si="1"/>
        <v>21.270479424030277</v>
      </c>
      <c r="AJ22" s="1739">
        <f t="shared" si="1"/>
        <v>21.270479424030277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1838">
        <f>C21*1000000/C16</f>
        <v>256.8805210987972</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251.19943332338056</v>
      </c>
      <c r="B27" s="1794" t="str">
        <f>'C-FCL Real'!B148</f>
        <v>Dados de Receitas Diretas</v>
      </c>
      <c r="C27" s="1809">
        <f>SUMIF($D$15:$BG$15,1,D27:BG27)</f>
        <v>737.36786747820418</v>
      </c>
      <c r="D27" s="1804">
        <f>'C-FCL Real'!C148-D30</f>
        <v>19.59355579922368</v>
      </c>
      <c r="E27" s="51">
        <f>'C-FCL Real'!D148-E30</f>
        <v>19.685645511480033</v>
      </c>
      <c r="F27" s="51">
        <f>'C-FCL Real'!E148-F30</f>
        <v>19.778168045383985</v>
      </c>
      <c r="G27" s="51">
        <f>'C-FCL Real'!F148-G30</f>
        <v>19.871125435197289</v>
      </c>
      <c r="H27" s="51">
        <f>'C-FCL Real'!G148-H30</f>
        <v>19.964519724742718</v>
      </c>
      <c r="I27" s="51">
        <f>'C-FCL Real'!H148-I30</f>
        <v>20.058352967449007</v>
      </c>
      <c r="J27" s="51">
        <f>'C-FCL Real'!I148-J30</f>
        <v>20.152627226396017</v>
      </c>
      <c r="K27" s="51">
        <f>'C-FCL Real'!J148-K30</f>
        <v>20.247344574360078</v>
      </c>
      <c r="L27" s="51">
        <f>'C-FCL Real'!K148-L30</f>
        <v>20.342507093859567</v>
      </c>
      <c r="M27" s="51">
        <f>'C-FCL Real'!L148-M30</f>
        <v>20.438116877200706</v>
      </c>
      <c r="N27" s="51">
        <f>'C-FCL Real'!M148-N30</f>
        <v>20.53417602652355</v>
      </c>
      <c r="O27" s="51">
        <f>'C-FCL Real'!N148-O30</f>
        <v>20.630686653848208</v>
      </c>
      <c r="P27" s="51">
        <f>'C-FCL Real'!O148-P30</f>
        <v>20.727650881121285</v>
      </c>
      <c r="Q27" s="51">
        <f>'C-FCL Real'!P148-Q30</f>
        <v>20.825070840262558</v>
      </c>
      <c r="R27" s="51">
        <f>'C-FCL Real'!Q148-R30</f>
        <v>20.922948673211792</v>
      </c>
      <c r="S27" s="51">
        <f>'C-FCL Real'!O148-S30</f>
        <v>20.727650881121285</v>
      </c>
      <c r="T27" s="51">
        <f>'C-FCL Real'!P148-T30</f>
        <v>20.825070840262558</v>
      </c>
      <c r="U27" s="51">
        <f>'C-FCL Real'!Q148-U30</f>
        <v>20.922948673211792</v>
      </c>
      <c r="V27" s="51">
        <f>'C-FCL Real'!R148-V30</f>
        <v>21.021286531975885</v>
      </c>
      <c r="W27" s="51">
        <f>'C-FCL Real'!S148-W30</f>
        <v>21.120086578676169</v>
      </c>
      <c r="X27" s="51">
        <f>'C-FCL Real'!T148-X30</f>
        <v>21.219350985595948</v>
      </c>
      <c r="Y27" s="51">
        <f>'C-FCL Real'!U148-Y30</f>
        <v>21.319081935228244</v>
      </c>
      <c r="Z27" s="51">
        <f>'C-FCL Real'!V148-Z30</f>
        <v>21.419281620323815</v>
      </c>
      <c r="AA27" s="51">
        <f>'C-FCL Real'!W148-AA30</f>
        <v>21.519952243939336</v>
      </c>
      <c r="AB27" s="51">
        <f>'C-FCL Real'!X148-AB30</f>
        <v>21.621096019485847</v>
      </c>
      <c r="AC27" s="51">
        <f>'C-FCL Real'!Y148-AC30</f>
        <v>21.722715170777434</v>
      </c>
      <c r="AD27" s="51">
        <f>'C-FCL Real'!Z148-AD30</f>
        <v>21.824811932080085</v>
      </c>
      <c r="AE27" s="51">
        <f>'C-FCL Real'!AA148-AE30</f>
        <v>21.927388548160859</v>
      </c>
      <c r="AF27" s="51">
        <f>'C-FCL Real'!AB148-AF30</f>
        <v>22.030447274337213</v>
      </c>
      <c r="AG27" s="51">
        <f>'C-FCL Real'!AC148-AG30</f>
        <v>22.133990376526597</v>
      </c>
      <c r="AH27" s="51">
        <f>'C-FCL Real'!AD148-AH30</f>
        <v>22.238020131296274</v>
      </c>
      <c r="AI27" s="51">
        <f>'C-FCL Real'!AE148-AI30</f>
        <v>22.342538825913362</v>
      </c>
      <c r="AJ27" s="1739">
        <f>'C-FCL Real'!AF148-AJ30</f>
        <v>22.447548758395154</v>
      </c>
      <c r="AK27" s="51">
        <f>'C-FCL Real'!AG148-AK30</f>
        <v>22.553052237559609</v>
      </c>
      <c r="AL27" s="51">
        <f>'C-FCL Real'!AH148-AL30</f>
        <v>22.659051583076138</v>
      </c>
      <c r="AM27" s="51">
        <f>'C-FCL Real'!AI148-AM30</f>
        <v>22.765549125516593</v>
      </c>
      <c r="AN27" s="51">
        <f>'C-FCL Real'!AJ148-AN30</f>
        <v>22.872547206406523</v>
      </c>
      <c r="AO27" s="51">
        <f>'C-FCL Real'!AK148-AO30</f>
        <v>22.980048178276629</v>
      </c>
      <c r="AP27" s="51">
        <f>'C-FCL Real'!AL148-AP30</f>
        <v>23.08805440471453</v>
      </c>
      <c r="AQ27" s="51">
        <f>'C-FCL Real'!AM148-AQ30</f>
        <v>23.196568260416683</v>
      </c>
      <c r="AR27" s="51">
        <f>'C-FCL Real'!AN148-AR30</f>
        <v>23.30559213124064</v>
      </c>
      <c r="AS27" s="51">
        <f>'C-FCL Real'!AO148-AS30</f>
        <v>23.415128414257474</v>
      </c>
      <c r="AT27" s="51">
        <f>'C-FCL Real'!AP148-AT30</f>
        <v>23.525179517804482</v>
      </c>
      <c r="AU27" s="51">
        <f>'C-FCL Real'!AQ148-AU30</f>
        <v>23.63574786153816</v>
      </c>
      <c r="AV27" s="51">
        <f>'C-FCL Real'!AR148-AV30</f>
        <v>23.746835876487385</v>
      </c>
      <c r="AW27" s="51">
        <f>'C-FCL Real'!AS148-AW30</f>
        <v>23.858446005106874</v>
      </c>
      <c r="AX27" s="51">
        <f>'C-FCL Real'!AT148-AX30</f>
        <v>23.970580701330874</v>
      </c>
      <c r="AY27" s="51">
        <f>'C-FCL Real'!AU148-AY30</f>
        <v>24.083242430627131</v>
      </c>
      <c r="AZ27" s="51">
        <f>'C-FCL Real'!AV148-AZ30</f>
        <v>24.196433670051071</v>
      </c>
      <c r="BA27" s="51">
        <f>'C-FCL Real'!AW148-BA30</f>
        <v>24.310156908300314</v>
      </c>
      <c r="BB27" s="51">
        <f>'C-FCL Real'!AX148-BB30</f>
        <v>24.424414645769321</v>
      </c>
      <c r="BC27" s="51">
        <f>'C-FCL Real'!AY148-BC30</f>
        <v>24.539209394604434</v>
      </c>
      <c r="BD27" s="51">
        <f>'C-FCL Real'!AZ148-BD30</f>
        <v>24.654543678759072</v>
      </c>
      <c r="BE27" s="51">
        <f>'C-FCL Real'!BA148-BE30</f>
        <v>24.770420034049238</v>
      </c>
      <c r="BF27" s="51">
        <f>'C-FCL Real'!BB148-BF30</f>
        <v>24.886841008209267</v>
      </c>
      <c r="BG27" s="51">
        <f>'C-FCL Real'!BC148-BG30</f>
        <v>25.003809160947849</v>
      </c>
      <c r="BH27" s="51">
        <f>'C-FCL Real'!BD148-BH30</f>
        <v>0</v>
      </c>
    </row>
    <row r="28" spans="1:60" ht="15" hidden="1" customHeight="1" outlineLevel="1" x14ac:dyDescent="0.3">
      <c r="A28" s="1823">
        <f>C28*1000000/$C$16</f>
        <v>214.86878638303898</v>
      </c>
      <c r="B28" s="1847" t="s">
        <v>1010</v>
      </c>
      <c r="C28" s="1808">
        <f>SUMIF($D$15:$BG$15,1,D28:BG28)</f>
        <v>630.7233129739094</v>
      </c>
      <c r="D28" s="1804">
        <f t="shared" ref="D28:AJ28" si="3">NPV($C$8,D27:D27)</f>
        <v>17.854525058523492</v>
      </c>
      <c r="E28" s="51">
        <f t="shared" si="3"/>
        <v>17.938441326298555</v>
      </c>
      <c r="F28" s="51">
        <f t="shared" si="3"/>
        <v>18.022752000532154</v>
      </c>
      <c r="G28" s="51">
        <f t="shared" si="3"/>
        <v>18.107458934934655</v>
      </c>
      <c r="H28" s="51">
        <f t="shared" si="3"/>
        <v>18.19256399192885</v>
      </c>
      <c r="I28" s="51">
        <f t="shared" si="3"/>
        <v>18.278069042690912</v>
      </c>
      <c r="J28" s="51">
        <f t="shared" si="3"/>
        <v>18.363975967191561</v>
      </c>
      <c r="K28" s="51">
        <f t="shared" si="3"/>
        <v>18.45028665423736</v>
      </c>
      <c r="L28" s="51">
        <f t="shared" si="3"/>
        <v>18.537003001512272</v>
      </c>
      <c r="M28" s="51">
        <f t="shared" si="3"/>
        <v>18.624126915619378</v>
      </c>
      <c r="N28" s="51">
        <f t="shared" si="3"/>
        <v>18.711660312122792</v>
      </c>
      <c r="O28" s="51">
        <f t="shared" si="3"/>
        <v>18.799605115589767</v>
      </c>
      <c r="P28" s="51">
        <f t="shared" si="3"/>
        <v>18.887963259633029</v>
      </c>
      <c r="Q28" s="51">
        <f t="shared" si="3"/>
        <v>18.976736686953309</v>
      </c>
      <c r="R28" s="51">
        <f t="shared" si="3"/>
        <v>19.065927349381987</v>
      </c>
      <c r="S28" s="51">
        <f t="shared" si="3"/>
        <v>18.887963259633029</v>
      </c>
      <c r="T28" s="51">
        <f t="shared" si="3"/>
        <v>18.976736686953309</v>
      </c>
      <c r="U28" s="51">
        <f t="shared" si="3"/>
        <v>19.065927349381987</v>
      </c>
      <c r="V28" s="51">
        <f t="shared" si="3"/>
        <v>19.15553720792408</v>
      </c>
      <c r="W28" s="51">
        <f t="shared" si="3"/>
        <v>19.245568232801322</v>
      </c>
      <c r="X28" s="51">
        <f t="shared" si="3"/>
        <v>19.336022403495488</v>
      </c>
      <c r="Y28" s="51">
        <f t="shared" si="3"/>
        <v>19.426901708791913</v>
      </c>
      <c r="Z28" s="51">
        <f t="shared" si="3"/>
        <v>19.518208146823234</v>
      </c>
      <c r="AA28" s="51">
        <f t="shared" si="3"/>
        <v>19.6099437251133</v>
      </c>
      <c r="AB28" s="51">
        <f t="shared" si="3"/>
        <v>19.702110460621331</v>
      </c>
      <c r="AC28" s="51">
        <f t="shared" si="3"/>
        <v>19.794710379786252</v>
      </c>
      <c r="AD28" s="51">
        <f t="shared" si="3"/>
        <v>19.887745518571247</v>
      </c>
      <c r="AE28" s="51">
        <f t="shared" si="3"/>
        <v>19.981217922508531</v>
      </c>
      <c r="AF28" s="51">
        <f t="shared" si="3"/>
        <v>20.075129646744319</v>
      </c>
      <c r="AG28" s="51">
        <f t="shared" si="3"/>
        <v>20.169482756084015</v>
      </c>
      <c r="AH28" s="51">
        <f t="shared" si="3"/>
        <v>20.264279325037613</v>
      </c>
      <c r="AI28" s="51">
        <f t="shared" si="3"/>
        <v>20.359521437865286</v>
      </c>
      <c r="AJ28" s="1739">
        <f t="shared" si="3"/>
        <v>20.455211188623252</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24.44977698183488</v>
      </c>
      <c r="B30" s="1794" t="str">
        <f>'C-FCL Real'!B149</f>
        <v>Receita do Ente Público pela disposição do RPU</v>
      </c>
      <c r="C30" s="1809">
        <f>SUMIF($D$15:$BG$15,1,D30:BG30)</f>
        <v>71.769588310354095</v>
      </c>
      <c r="D30" s="1804">
        <f>'C-FCL Real'!C149</f>
        <v>1.90708260458312</v>
      </c>
      <c r="E30" s="51">
        <f>'C-FCL Real'!D149</f>
        <v>1.9160458928246604</v>
      </c>
      <c r="F30" s="51">
        <f>'C-FCL Real'!E149</f>
        <v>1.9250513085209362</v>
      </c>
      <c r="G30" s="51">
        <f>'C-FCL Real'!F149</f>
        <v>1.9340990496709844</v>
      </c>
      <c r="H30" s="51">
        <f>'C-FCL Real'!G149</f>
        <v>1.9431893152044379</v>
      </c>
      <c r="I30" s="51">
        <f>'C-FCL Real'!H149</f>
        <v>1.9523223049858986</v>
      </c>
      <c r="J30" s="51">
        <f>'C-FCL Real'!I149</f>
        <v>1.9614982198193323</v>
      </c>
      <c r="K30" s="51">
        <f>'C-FCL Real'!J149</f>
        <v>1.970717261452483</v>
      </c>
      <c r="L30" s="51">
        <f>'C-FCL Real'!K149</f>
        <v>1.9799796325813095</v>
      </c>
      <c r="M30" s="51">
        <f>'C-FCL Real'!L149</f>
        <v>1.9892855368544415</v>
      </c>
      <c r="N30" s="51">
        <f>'C-FCL Real'!M149</f>
        <v>1.9986351788776573</v>
      </c>
      <c r="O30" s="51">
        <f>'C-FCL Real'!N149</f>
        <v>2.0080287642183823</v>
      </c>
      <c r="P30" s="51">
        <f>'C-FCL Real'!O149</f>
        <v>2.0174664994102085</v>
      </c>
      <c r="Q30" s="51">
        <f>'C-FCL Real'!P149</f>
        <v>2.0269485919574364</v>
      </c>
      <c r="R30" s="51">
        <f>'C-FCL Real'!Q149</f>
        <v>2.0364752503396364</v>
      </c>
      <c r="S30" s="51">
        <f>'C-FCL Real'!O149</f>
        <v>2.0174664994102085</v>
      </c>
      <c r="T30" s="51">
        <f>'C-FCL Real'!P149</f>
        <v>2.0269485919574364</v>
      </c>
      <c r="U30" s="51">
        <f>'C-FCL Real'!Q149</f>
        <v>2.0364752503396364</v>
      </c>
      <c r="V30" s="51">
        <f>'C-FCL Real'!R149</f>
        <v>2.0460466840162326</v>
      </c>
      <c r="W30" s="51">
        <f>'C-FCL Real'!S149</f>
        <v>2.0556631034311086</v>
      </c>
      <c r="X30" s="51">
        <f>'C-FCL Real'!T149</f>
        <v>2.0653247200172347</v>
      </c>
      <c r="Y30" s="51">
        <f>'C-FCL Real'!U149</f>
        <v>2.0750317462013155</v>
      </c>
      <c r="Z30" s="51">
        <f>'C-FCL Real'!V149</f>
        <v>2.0847843954084615</v>
      </c>
      <c r="AA30" s="51">
        <f>'C-FCL Real'!W149</f>
        <v>2.0945828820668813</v>
      </c>
      <c r="AB30" s="51">
        <f>'C-FCL Real'!X149</f>
        <v>2.1044274216125953</v>
      </c>
      <c r="AC30" s="51">
        <f>'C-FCL Real'!Y149</f>
        <v>2.1143182304941743</v>
      </c>
      <c r="AD30" s="51">
        <f>'C-FCL Real'!Z149</f>
        <v>2.1242555261774969</v>
      </c>
      <c r="AE30" s="51">
        <f>'C-FCL Real'!AA149</f>
        <v>2.1342395271505308</v>
      </c>
      <c r="AF30" s="51">
        <f>'C-FCL Real'!AB149</f>
        <v>2.1442704529281382</v>
      </c>
      <c r="AG30" s="51">
        <f>'C-FCL Real'!AC149</f>
        <v>2.1543485240569002</v>
      </c>
      <c r="AH30" s="51">
        <f>'C-FCL Real'!AD149</f>
        <v>2.1644739621199673</v>
      </c>
      <c r="AI30" s="51">
        <f>'C-FCL Real'!AE149</f>
        <v>2.1746469897419312</v>
      </c>
      <c r="AJ30" s="1739">
        <f>'C-FCL Real'!AF149</f>
        <v>2.1848678305937179</v>
      </c>
      <c r="AK30" s="51">
        <f>'C-FCL Real'!AG149</f>
        <v>2.195136709397508</v>
      </c>
      <c r="AL30" s="51">
        <f>'C-FCL Real'!AH149</f>
        <v>2.2054538519316762</v>
      </c>
      <c r="AM30" s="51">
        <f>'C-FCL Real'!AI149</f>
        <v>2.2158194850357549</v>
      </c>
      <c r="AN30" s="51">
        <f>'C-FCL Real'!AJ149</f>
        <v>2.2262338366154228</v>
      </c>
      <c r="AO30" s="51">
        <f>'C-FCL Real'!AK149</f>
        <v>2.2366971356475154</v>
      </c>
      <c r="AP30" s="51">
        <f>'C-FCL Real'!AL149</f>
        <v>2.2472096121850584</v>
      </c>
      <c r="AQ30" s="51">
        <f>'C-FCL Real'!AM149</f>
        <v>2.2577714973623282</v>
      </c>
      <c r="AR30" s="51">
        <f>'C-FCL Real'!AN149</f>
        <v>2.2683830233999309</v>
      </c>
      <c r="AS30" s="51">
        <f>'C-FCL Real'!AO149</f>
        <v>2.2790444236099106</v>
      </c>
      <c r="AT30" s="51">
        <f>'C-FCL Real'!AP149</f>
        <v>2.2897559324008769</v>
      </c>
      <c r="AU30" s="51">
        <f>'C-FCL Real'!AQ149</f>
        <v>2.3005177852831609</v>
      </c>
      <c r="AV30" s="51">
        <f>'C-FCL Real'!AR149</f>
        <v>2.3113302188739917</v>
      </c>
      <c r="AW30" s="51">
        <f>'C-FCL Real'!AS149</f>
        <v>2.3221934709026995</v>
      </c>
      <c r="AX30" s="51">
        <f>'C-FCL Real'!AT149</f>
        <v>2.3331077802159421</v>
      </c>
      <c r="AY30" s="51">
        <f>'C-FCL Real'!AU149</f>
        <v>2.3440733867829571</v>
      </c>
      <c r="AZ30" s="51">
        <f>'C-FCL Real'!AV149</f>
        <v>2.3550905317008368</v>
      </c>
      <c r="BA30" s="51">
        <f>'C-FCL Real'!AW149</f>
        <v>2.3661594571998306</v>
      </c>
      <c r="BB30" s="51">
        <f>'C-FCL Real'!AX149</f>
        <v>2.3772804066486697</v>
      </c>
      <c r="BC30" s="51">
        <f>'C-FCL Real'!AY149</f>
        <v>2.3884536245599182</v>
      </c>
      <c r="BD30" s="51">
        <f>'C-FCL Real'!AZ149</f>
        <v>2.3996793565953496</v>
      </c>
      <c r="BE30" s="51">
        <f>'C-FCL Real'!BA149</f>
        <v>2.4109578495713477</v>
      </c>
      <c r="BF30" s="51">
        <f>'C-FCL Real'!BB149</f>
        <v>2.4222893514643329</v>
      </c>
      <c r="BG30" s="51">
        <f>'C-FCL Real'!BC149</f>
        <v>2.4336741114162153</v>
      </c>
      <c r="BH30" s="51">
        <f>'C-FCL Real'!BD149</f>
        <v>0</v>
      </c>
    </row>
    <row r="31" spans="1:60" ht="15" hidden="1" customHeight="1" outlineLevel="1" x14ac:dyDescent="0.3">
      <c r="A31" s="1823">
        <f>C31*1000000/$C$16</f>
        <v>20.913637574411879</v>
      </c>
      <c r="B31" s="1847" t="s">
        <v>1011</v>
      </c>
      <c r="C31" s="1808">
        <f>SUMIF($D$15:$BG$15,1,D31:BG31)</f>
        <v>61.389646208333239</v>
      </c>
      <c r="D31" s="1804">
        <f t="shared" ref="D31:AJ31" si="4">NPV($C$8,D30:D30)</f>
        <v>1.7378190309669401</v>
      </c>
      <c r="E31" s="51">
        <f t="shared" si="4"/>
        <v>1.7459867804124845</v>
      </c>
      <c r="F31" s="51">
        <f t="shared" si="4"/>
        <v>1.754192918280423</v>
      </c>
      <c r="G31" s="51">
        <f t="shared" si="4"/>
        <v>1.7624376249963409</v>
      </c>
      <c r="H31" s="51">
        <f t="shared" si="4"/>
        <v>1.7707210818338237</v>
      </c>
      <c r="I31" s="51">
        <f t="shared" si="4"/>
        <v>1.7790434709184424</v>
      </c>
      <c r="J31" s="51">
        <f t="shared" si="4"/>
        <v>1.7874049752317591</v>
      </c>
      <c r="K31" s="51">
        <f t="shared" si="4"/>
        <v>1.7958057786153483</v>
      </c>
      <c r="L31" s="51">
        <f t="shared" si="4"/>
        <v>1.8042460657748403</v>
      </c>
      <c r="M31" s="51">
        <f t="shared" si="4"/>
        <v>1.8127260222839818</v>
      </c>
      <c r="N31" s="51">
        <f t="shared" si="4"/>
        <v>1.8212458345887164</v>
      </c>
      <c r="O31" s="51">
        <f t="shared" si="4"/>
        <v>1.8298056900112833</v>
      </c>
      <c r="P31" s="51">
        <f t="shared" si="4"/>
        <v>1.8384057767543363</v>
      </c>
      <c r="Q31" s="51">
        <f t="shared" si="4"/>
        <v>1.8470462839050816</v>
      </c>
      <c r="R31" s="51">
        <f t="shared" si="4"/>
        <v>1.8557274014394356</v>
      </c>
      <c r="S31" s="51">
        <f t="shared" si="4"/>
        <v>1.8384057767543363</v>
      </c>
      <c r="T31" s="51">
        <f t="shared" si="4"/>
        <v>1.8470462839050816</v>
      </c>
      <c r="U31" s="51">
        <f t="shared" si="4"/>
        <v>1.8557274014394356</v>
      </c>
      <c r="V31" s="51">
        <f t="shared" si="4"/>
        <v>1.8644493202262007</v>
      </c>
      <c r="W31" s="51">
        <f t="shared" si="4"/>
        <v>1.8732122320312636</v>
      </c>
      <c r="X31" s="51">
        <f t="shared" si="4"/>
        <v>1.8820163295218104</v>
      </c>
      <c r="Y31" s="51">
        <f t="shared" si="4"/>
        <v>1.8908618062705629</v>
      </c>
      <c r="Z31" s="51">
        <f t="shared" si="4"/>
        <v>1.8997488567600342</v>
      </c>
      <c r="AA31" s="51">
        <f t="shared" si="4"/>
        <v>1.9086776763868065</v>
      </c>
      <c r="AB31" s="51">
        <f t="shared" si="4"/>
        <v>1.9176484614658242</v>
      </c>
      <c r="AC31" s="51">
        <f t="shared" si="4"/>
        <v>1.9266614092347134</v>
      </c>
      <c r="AD31" s="51">
        <f t="shared" si="4"/>
        <v>1.9357167178581165</v>
      </c>
      <c r="AE31" s="51">
        <f t="shared" si="4"/>
        <v>1.9448145864320494</v>
      </c>
      <c r="AF31" s="51">
        <f t="shared" si="4"/>
        <v>1.95395521498828</v>
      </c>
      <c r="AG31" s="51">
        <f t="shared" si="4"/>
        <v>1.9631388044987246</v>
      </c>
      <c r="AH31" s="51">
        <f t="shared" si="4"/>
        <v>1.9723655568798684</v>
      </c>
      <c r="AI31" s="51">
        <f t="shared" si="4"/>
        <v>1.9816356749972037</v>
      </c>
      <c r="AJ31" s="1739">
        <f t="shared" si="4"/>
        <v>1.9909493626696901</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-56.969039797829168</v>
      </c>
      <c r="B33" s="1794" t="s">
        <v>1004</v>
      </c>
      <c r="C33" s="1809">
        <f>SUMIF($D$15:$BG$15,1,D33:BG33)</f>
        <v>-167.22625060196103</v>
      </c>
      <c r="D33" s="1804">
        <f>'C-FCL Real'!C153</f>
        <v>-37.825899409462536</v>
      </c>
      <c r="E33" s="51">
        <f>'C-FCL Real'!D153</f>
        <v>-66.467423087907349</v>
      </c>
      <c r="F33" s="51">
        <f>'C-FCL Real'!E153</f>
        <v>-60.313662893346404</v>
      </c>
      <c r="G33" s="51">
        <f>'C-FCL Real'!F153</f>
        <v>-1.5369996350625534</v>
      </c>
      <c r="H33" s="51">
        <f>'C-FCL Real'!G153</f>
        <v>-1.4345150799836688</v>
      </c>
      <c r="I33" s="51">
        <f>'C-FCL Real'!H153</f>
        <v>-1.3315488474959203</v>
      </c>
      <c r="J33" s="51">
        <f>'C-FCL Real'!I153</f>
        <v>-1.2280986737154755</v>
      </c>
      <c r="K33" s="51">
        <f>'C-FCL Real'!J153</f>
        <v>-1.1241622841182668</v>
      </c>
      <c r="L33" s="51">
        <f>'C-FCL Real'!K153</f>
        <v>-1.019737393489951</v>
      </c>
      <c r="M33" s="51">
        <f>'C-FCL Real'!L153</f>
        <v>-0.91482170587567779</v>
      </c>
      <c r="N33" s="51">
        <f>'C-FCL Real'!M153</f>
        <v>-0.80941291452962005</v>
      </c>
      <c r="O33" s="51">
        <f>'C-FCL Real'!N153</f>
        <v>-0.7035087018642372</v>
      </c>
      <c r="P33" s="51">
        <f>'C-FCL Real'!O153</f>
        <v>-0.59710673939933301</v>
      </c>
      <c r="Q33" s="51">
        <f>'C-FCL Real'!P153</f>
        <v>-0.49020468771083259</v>
      </c>
      <c r="R33" s="51">
        <f>'C-FCL Real'!Q153</f>
        <v>-0.38280019637939944</v>
      </c>
      <c r="S33" s="51">
        <f>'C-FCL Real'!O153</f>
        <v>-0.59710673939933301</v>
      </c>
      <c r="T33" s="51">
        <f>'C-FCL Real'!P153</f>
        <v>-0.49020468771083259</v>
      </c>
      <c r="U33" s="51">
        <f>'C-FCL Real'!Q153</f>
        <v>-0.38280019637939944</v>
      </c>
      <c r="V33" s="51">
        <f>'C-FCL Real'!R153</f>
        <v>-0.27489090393870796</v>
      </c>
      <c r="W33" s="51">
        <f>'C-FCL Real'!S153</f>
        <v>-0.16647443782354898</v>
      </c>
      <c r="X33" s="51">
        <f>'C-FCL Real'!T153</f>
        <v>-5.7548414317643903E-2</v>
      </c>
      <c r="Y33" s="51">
        <f>'C-FCL Real'!U153</f>
        <v>5.1889561498732917E-2</v>
      </c>
      <c r="Z33" s="51">
        <f>'C-FCL Real'!V153</f>
        <v>0.16184189580145159</v>
      </c>
      <c r="AA33" s="51">
        <f>'C-FCL Real'!W153</f>
        <v>0.27231100607539105</v>
      </c>
      <c r="AB33" s="51">
        <f>'C-FCL Real'!X153</f>
        <v>0.38329932116761611</v>
      </c>
      <c r="AC33" s="51">
        <f>'C-FCL Real'!Y153</f>
        <v>0.49480928134078184</v>
      </c>
      <c r="AD33" s="51">
        <f>'C-FCL Real'!Z153</f>
        <v>0.60684333832675463</v>
      </c>
      <c r="AE33" s="51">
        <f>'C-FCL Real'!AA153</f>
        <v>0.71940395538056379</v>
      </c>
      <c r="AF33" s="51">
        <f>'C-FCL Real'!AB153</f>
        <v>0.83249360733452704</v>
      </c>
      <c r="AG33" s="51">
        <f>'C-FCL Real'!AC153</f>
        <v>0.94611478065267107</v>
      </c>
      <c r="AH33" s="51">
        <f>'C-FCL Real'!AD153</f>
        <v>1.0602699734854149</v>
      </c>
      <c r="AI33" s="51">
        <f>'C-FCL Real'!AE153</f>
        <v>1.1749616957244662</v>
      </c>
      <c r="AJ33" s="1739">
        <f>'C-FCL Real'!AF153</f>
        <v>1.2901924690580451</v>
      </c>
      <c r="AK33" s="51">
        <f>'C-FCL Real'!AG153</f>
        <v>1.4059648270262919</v>
      </c>
      <c r="AL33" s="51">
        <f>'C-FCL Real'!AH153</f>
        <v>1.5222813150769881</v>
      </c>
      <c r="AM33" s="51">
        <f>'C-FCL Real'!AI153</f>
        <v>1.639144490621522</v>
      </c>
      <c r="AN33" s="51">
        <f>'C-FCL Real'!AJ153</f>
        <v>1.756556923091118</v>
      </c>
      <c r="AO33" s="51">
        <f>'C-FCL Real'!AK153</f>
        <v>1.8745211939933171</v>
      </c>
      <c r="AP33" s="51">
        <f>'C-FCL Real'!AL153</f>
        <v>1.9930398969687637</v>
      </c>
      <c r="AQ33" s="51">
        <f>'C-FCL Real'!AM153</f>
        <v>2.1121156378481842</v>
      </c>
      <c r="AR33" s="51">
        <f>'C-FCL Real'!AN153</f>
        <v>2.2317510347097453</v>
      </c>
      <c r="AS33" s="51">
        <f>'C-FCL Real'!AO153</f>
        <v>2.3519487179365584</v>
      </c>
      <c r="AT33" s="51">
        <f>'C-FCL Real'!AP153</f>
        <v>2.4727113302745316</v>
      </c>
      <c r="AU33" s="51">
        <f>'C-FCL Real'!AQ153</f>
        <v>2.5940415268904964</v>
      </c>
      <c r="AV33" s="51">
        <f>'C-FCL Real'!AR153</f>
        <v>2.7159419754305496</v>
      </c>
      <c r="AW33" s="51">
        <f>'C-FCL Real'!AS153</f>
        <v>2.8384153560787482</v>
      </c>
      <c r="AX33" s="51">
        <f>'C-FCL Real'!AT153</f>
        <v>2.9614643616159917</v>
      </c>
      <c r="AY33" s="51">
        <f>'C-FCL Real'!AU153</f>
        <v>3.0850916974792604</v>
      </c>
      <c r="AZ33" s="51">
        <f>'C-FCL Real'!AV153</f>
        <v>3.2093000818210839</v>
      </c>
      <c r="BA33" s="51">
        <f>'C-FCL Real'!AW153</f>
        <v>3.3340922455693196</v>
      </c>
      <c r="BB33" s="51">
        <f>'C-FCL Real'!AX153</f>
        <v>3.4594709324871644</v>
      </c>
      <c r="BC33" s="51">
        <f>'C-FCL Real'!AY153</f>
        <v>3.5854388992335267</v>
      </c>
      <c r="BD33" s="51">
        <f>'C-FCL Real'!AZ153</f>
        <v>3.7119989154235959</v>
      </c>
      <c r="BE33" s="51">
        <f>'C-FCL Real'!BA153</f>
        <v>3.8391537636897581</v>
      </c>
      <c r="BF33" s="51">
        <f>'C-FCL Real'!BB153</f>
        <v>3.966906239742773</v>
      </c>
      <c r="BG33" s="51">
        <f>'C-FCL Real'!BC153</f>
        <v>4.0952591524332398</v>
      </c>
      <c r="BH33" s="51">
        <f>'C-FCL Real'!BD153</f>
        <v>0</v>
      </c>
    </row>
    <row r="34" spans="1:60" ht="15" hidden="1" customHeight="1" outlineLevel="1" x14ac:dyDescent="0.3">
      <c r="A34" s="1823">
        <f>C34*1000000/$C$16</f>
        <v>-52.821766620586452</v>
      </c>
      <c r="B34" s="1847" t="s">
        <v>1012</v>
      </c>
      <c r="C34" s="1808">
        <f>SUMIF($D$15:$BG$15,1,D34:BG34)</f>
        <v>-155.05239360676535</v>
      </c>
      <c r="D34" s="1804">
        <f t="shared" ref="D34:AJ34" si="5">NPV($C$8,D33:D33)</f>
        <v>-34.468652642120048</v>
      </c>
      <c r="E34" s="51">
        <f t="shared" si="5"/>
        <v>-60.568091022332197</v>
      </c>
      <c r="F34" s="51">
        <f t="shared" si="5"/>
        <v>-54.960509288633503</v>
      </c>
      <c r="G34" s="51">
        <f t="shared" si="5"/>
        <v>-1.4005828640992832</v>
      </c>
      <c r="H34" s="51">
        <f t="shared" si="5"/>
        <v>-1.3071943502676042</v>
      </c>
      <c r="I34" s="51">
        <f t="shared" si="5"/>
        <v>-1.2133669104209226</v>
      </c>
      <c r="J34" s="51">
        <f t="shared" si="5"/>
        <v>-1.119098481606958</v>
      </c>
      <c r="K34" s="51">
        <f t="shared" si="5"/>
        <v>-1.0243869911775714</v>
      </c>
      <c r="L34" s="51">
        <f t="shared" si="5"/>
        <v>-0.92923035674316656</v>
      </c>
      <c r="M34" s="51">
        <f t="shared" si="5"/>
        <v>-0.83362648612691626</v>
      </c>
      <c r="N34" s="51">
        <f t="shared" si="5"/>
        <v>-0.73757327731877176</v>
      </c>
      <c r="O34" s="51">
        <f t="shared" si="5"/>
        <v>-0.64106861842923024</v>
      </c>
      <c r="P34" s="51">
        <f t="shared" si="5"/>
        <v>-0.54411038764291331</v>
      </c>
      <c r="Q34" s="51">
        <f t="shared" si="5"/>
        <v>-0.4466964531718905</v>
      </c>
      <c r="R34" s="51">
        <f t="shared" si="5"/>
        <v>-0.34882467320885679</v>
      </c>
      <c r="S34" s="51">
        <f t="shared" si="5"/>
        <v>-0.54411038764291331</v>
      </c>
      <c r="T34" s="51">
        <f t="shared" si="5"/>
        <v>-0.4466964531718905</v>
      </c>
      <c r="U34" s="51">
        <f t="shared" si="5"/>
        <v>-0.34882467320885679</v>
      </c>
      <c r="V34" s="51">
        <f t="shared" si="5"/>
        <v>-0.25049289587999635</v>
      </c>
      <c r="W34" s="51">
        <f t="shared" si="5"/>
        <v>-0.15169895919769363</v>
      </c>
      <c r="X34" s="51">
        <f t="shared" si="5"/>
        <v>-5.2440691012979684E-2</v>
      </c>
      <c r="Y34" s="51">
        <f t="shared" si="5"/>
        <v>4.728409103219694E-2</v>
      </c>
      <c r="Z34" s="51">
        <f t="shared" si="5"/>
        <v>0.14747757955299035</v>
      </c>
      <c r="AA34" s="51">
        <f t="shared" si="5"/>
        <v>0.24814197746982966</v>
      </c>
      <c r="AB34" s="51">
        <f t="shared" si="5"/>
        <v>0.34927949805687636</v>
      </c>
      <c r="AC34" s="51">
        <f t="shared" si="5"/>
        <v>0.4508923649906888</v>
      </c>
      <c r="AD34" s="51">
        <f t="shared" si="5"/>
        <v>0.55298281239908387</v>
      </c>
      <c r="AE34" s="51">
        <f t="shared" si="5"/>
        <v>0.65555308491030051</v>
      </c>
      <c r="AF34" s="51">
        <f t="shared" si="5"/>
        <v>0.75860543770232103</v>
      </c>
      <c r="AG34" s="51">
        <f t="shared" si="5"/>
        <v>0.86214213655246141</v>
      </c>
      <c r="AH34" s="51">
        <f t="shared" si="5"/>
        <v>0.96616545788720154</v>
      </c>
      <c r="AI34" s="51">
        <f t="shared" si="5"/>
        <v>1.0706776888322092</v>
      </c>
      <c r="AJ34" s="1739">
        <f t="shared" si="5"/>
        <v>1.1756811272626619</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1.2651512715367503</v>
      </c>
      <c r="B36" s="1795" t="s">
        <v>1014</v>
      </c>
      <c r="C36" s="1809">
        <f>SUMIF($D$15:$BG$15,1,D36:BG36)</f>
        <v>3.7137101895028972</v>
      </c>
      <c r="D36" s="1804">
        <f>IF(D33&gt;0,D33*0.34,0)</f>
        <v>0</v>
      </c>
      <c r="E36" s="51">
        <f t="shared" ref="E36:BG36" si="6">IF(E33&gt;0,E33*0.34,0)</f>
        <v>0</v>
      </c>
      <c r="F36" s="51">
        <f t="shared" si="6"/>
        <v>0</v>
      </c>
      <c r="G36" s="51">
        <f t="shared" si="6"/>
        <v>0</v>
      </c>
      <c r="H36" s="51">
        <f t="shared" si="6"/>
        <v>0</v>
      </c>
      <c r="I36" s="51">
        <f t="shared" si="6"/>
        <v>0</v>
      </c>
      <c r="J36" s="51">
        <f t="shared" si="6"/>
        <v>0</v>
      </c>
      <c r="K36" s="51">
        <f t="shared" si="6"/>
        <v>0</v>
      </c>
      <c r="L36" s="51">
        <f t="shared" si="6"/>
        <v>0</v>
      </c>
      <c r="M36" s="51">
        <f t="shared" si="6"/>
        <v>0</v>
      </c>
      <c r="N36" s="51">
        <f t="shared" si="6"/>
        <v>0</v>
      </c>
      <c r="O36" s="51">
        <f t="shared" si="6"/>
        <v>0</v>
      </c>
      <c r="P36" s="51">
        <f>IF(P33&gt;0,P33*0.34,0)</f>
        <v>0</v>
      </c>
      <c r="Q36" s="51">
        <f>IF(Q33&gt;0,Q33*0.34,0)</f>
        <v>0</v>
      </c>
      <c r="R36" s="51">
        <f>IF(R33&gt;0,R33*0.34,0)</f>
        <v>0</v>
      </c>
      <c r="S36" s="51">
        <f t="shared" si="6"/>
        <v>0</v>
      </c>
      <c r="T36" s="51">
        <f t="shared" si="6"/>
        <v>0</v>
      </c>
      <c r="U36" s="51">
        <f t="shared" si="6"/>
        <v>0</v>
      </c>
      <c r="V36" s="51">
        <f t="shared" si="6"/>
        <v>0</v>
      </c>
      <c r="W36" s="51">
        <f t="shared" si="6"/>
        <v>0</v>
      </c>
      <c r="X36" s="51">
        <f t="shared" si="6"/>
        <v>0</v>
      </c>
      <c r="Y36" s="51">
        <f t="shared" si="6"/>
        <v>1.7642450909569191E-2</v>
      </c>
      <c r="Z36" s="51">
        <f t="shared" si="6"/>
        <v>5.5026244572493541E-2</v>
      </c>
      <c r="AA36" s="51">
        <f t="shared" si="6"/>
        <v>9.258574206563297E-2</v>
      </c>
      <c r="AB36" s="51">
        <f t="shared" si="6"/>
        <v>0.13032176919698948</v>
      </c>
      <c r="AC36" s="51">
        <f t="shared" si="6"/>
        <v>0.16823515565586583</v>
      </c>
      <c r="AD36" s="51">
        <f t="shared" si="6"/>
        <v>0.20632673503109658</v>
      </c>
      <c r="AE36" s="51">
        <f t="shared" si="6"/>
        <v>0.24459734482939172</v>
      </c>
      <c r="AF36" s="51">
        <f t="shared" si="6"/>
        <v>0.28304782649373922</v>
      </c>
      <c r="AG36" s="51">
        <f t="shared" si="6"/>
        <v>0.32167902542190818</v>
      </c>
      <c r="AH36" s="51">
        <f t="shared" si="6"/>
        <v>0.36049179098504108</v>
      </c>
      <c r="AI36" s="51">
        <f t="shared" si="6"/>
        <v>0.39948697654631854</v>
      </c>
      <c r="AJ36" s="1739">
        <f t="shared" si="6"/>
        <v>0.43866543947973535</v>
      </c>
      <c r="AK36" s="51">
        <f t="shared" si="6"/>
        <v>0.47802804118893927</v>
      </c>
      <c r="AL36" s="51">
        <f t="shared" si="6"/>
        <v>0.51757564712617599</v>
      </c>
      <c r="AM36" s="51">
        <f t="shared" si="6"/>
        <v>0.5573091268113175</v>
      </c>
      <c r="AN36" s="51">
        <f t="shared" si="6"/>
        <v>0.59722935385098019</v>
      </c>
      <c r="AO36" s="51">
        <f t="shared" si="6"/>
        <v>0.6373372059577278</v>
      </c>
      <c r="AP36" s="51">
        <f t="shared" si="6"/>
        <v>0.67763356496937976</v>
      </c>
      <c r="AQ36" s="51">
        <f t="shared" si="6"/>
        <v>0.71811931686838271</v>
      </c>
      <c r="AR36" s="51">
        <f t="shared" si="6"/>
        <v>0.75879535180131352</v>
      </c>
      <c r="AS36" s="51">
        <f t="shared" si="6"/>
        <v>0.79966256409842995</v>
      </c>
      <c r="AT36" s="51">
        <f t="shared" si="6"/>
        <v>0.84072185229334084</v>
      </c>
      <c r="AU36" s="51">
        <f t="shared" si="6"/>
        <v>0.8819741191427688</v>
      </c>
      <c r="AV36" s="51">
        <f t="shared" si="6"/>
        <v>0.92342027164638696</v>
      </c>
      <c r="AW36" s="51">
        <f t="shared" si="6"/>
        <v>0.9650612210667745</v>
      </c>
      <c r="AX36" s="51">
        <f t="shared" si="6"/>
        <v>1.0068978829494373</v>
      </c>
      <c r="AY36" s="51">
        <f t="shared" si="6"/>
        <v>1.0489311771429486</v>
      </c>
      <c r="AZ36" s="51">
        <f t="shared" si="6"/>
        <v>1.0911620278191687</v>
      </c>
      <c r="BA36" s="51">
        <f t="shared" si="6"/>
        <v>1.1335913634935688</v>
      </c>
      <c r="BB36" s="51">
        <f t="shared" si="6"/>
        <v>1.1762201170456359</v>
      </c>
      <c r="BC36" s="51">
        <f t="shared" si="6"/>
        <v>1.2190492257393992</v>
      </c>
      <c r="BD36" s="51">
        <f t="shared" si="6"/>
        <v>1.2620796312440228</v>
      </c>
      <c r="BE36" s="51">
        <f t="shared" si="6"/>
        <v>1.3053122796545178</v>
      </c>
      <c r="BF36" s="51">
        <f t="shared" si="6"/>
        <v>1.348748121512543</v>
      </c>
      <c r="BG36" s="51">
        <f t="shared" si="6"/>
        <v>1.3923881118273016</v>
      </c>
      <c r="BH36" s="51">
        <f>BH33*0.34</f>
        <v>0</v>
      </c>
    </row>
    <row r="37" spans="1:60" ht="15" hidden="1" customHeight="1" outlineLevel="1" x14ac:dyDescent="0.3">
      <c r="A37" s="1823">
        <f>C37*1000000/$C$16</f>
        <v>0.84379308218692883</v>
      </c>
      <c r="B37" s="1847" t="s">
        <v>1013</v>
      </c>
      <c r="C37" s="1808">
        <f>SUMIF($D$15:$BG$15,1,D37:BG37)</f>
        <v>2.476860307260599</v>
      </c>
      <c r="D37" s="1804">
        <f t="shared" ref="D37:AJ37" si="7">NPV($C$8,D36:D36)</f>
        <v>0</v>
      </c>
      <c r="E37" s="51">
        <f t="shared" si="7"/>
        <v>0</v>
      </c>
      <c r="F37" s="51">
        <f t="shared" si="7"/>
        <v>0</v>
      </c>
      <c r="G37" s="51">
        <f t="shared" si="7"/>
        <v>0</v>
      </c>
      <c r="H37" s="51">
        <f t="shared" si="7"/>
        <v>0</v>
      </c>
      <c r="I37" s="51">
        <f t="shared" si="7"/>
        <v>0</v>
      </c>
      <c r="J37" s="51">
        <f t="shared" si="7"/>
        <v>0</v>
      </c>
      <c r="K37" s="51">
        <f t="shared" si="7"/>
        <v>0</v>
      </c>
      <c r="L37" s="51">
        <f t="shared" si="7"/>
        <v>0</v>
      </c>
      <c r="M37" s="51">
        <f t="shared" si="7"/>
        <v>0</v>
      </c>
      <c r="N37" s="51">
        <f t="shared" si="7"/>
        <v>0</v>
      </c>
      <c r="O37" s="51">
        <f t="shared" si="7"/>
        <v>0</v>
      </c>
      <c r="P37" s="51">
        <f t="shared" si="7"/>
        <v>0</v>
      </c>
      <c r="Q37" s="51">
        <f t="shared" si="7"/>
        <v>0</v>
      </c>
      <c r="R37" s="51">
        <f t="shared" si="7"/>
        <v>0</v>
      </c>
      <c r="S37" s="51">
        <f t="shared" si="7"/>
        <v>0</v>
      </c>
      <c r="T37" s="51">
        <f t="shared" si="7"/>
        <v>0</v>
      </c>
      <c r="U37" s="51">
        <f t="shared" si="7"/>
        <v>0</v>
      </c>
      <c r="V37" s="51">
        <f t="shared" si="7"/>
        <v>0</v>
      </c>
      <c r="W37" s="51">
        <f t="shared" si="7"/>
        <v>0</v>
      </c>
      <c r="X37" s="51">
        <f t="shared" si="7"/>
        <v>0</v>
      </c>
      <c r="Y37" s="51">
        <f t="shared" si="7"/>
        <v>1.6076590950946958E-2</v>
      </c>
      <c r="Z37" s="51">
        <f t="shared" si="7"/>
        <v>5.0142377048016717E-2</v>
      </c>
      <c r="AA37" s="51">
        <f t="shared" si="7"/>
        <v>8.436827233974209E-2</v>
      </c>
      <c r="AB37" s="51">
        <f t="shared" si="7"/>
        <v>0.11875502933933797</v>
      </c>
      <c r="AC37" s="51">
        <f t="shared" si="7"/>
        <v>0.15330340409683418</v>
      </c>
      <c r="AD37" s="51">
        <f t="shared" si="7"/>
        <v>0.18801415621568854</v>
      </c>
      <c r="AE37" s="51">
        <f t="shared" si="7"/>
        <v>0.22288804886950223</v>
      </c>
      <c r="AF37" s="51">
        <f t="shared" si="7"/>
        <v>0.25792584881878916</v>
      </c>
      <c r="AG37" s="51">
        <f t="shared" si="7"/>
        <v>0.29312832642783687</v>
      </c>
      <c r="AH37" s="51">
        <f t="shared" si="7"/>
        <v>0.32849625568164853</v>
      </c>
      <c r="AI37" s="51">
        <f t="shared" si="7"/>
        <v>0.36403041420295112</v>
      </c>
      <c r="AJ37" s="1739">
        <f t="shared" si="7"/>
        <v>0.39973158326930508</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-58.234191069365906</v>
      </c>
      <c r="B39" s="1794" t="s">
        <v>1002</v>
      </c>
      <c r="C39" s="1809">
        <f>SUMIF($D$15:$BG$15,1,D39:BG39)</f>
        <v>-170.93996079146388</v>
      </c>
      <c r="D39" s="1804">
        <f>'C-FCL Real'!C156</f>
        <v>-37.825899409462536</v>
      </c>
      <c r="E39" s="51">
        <f>'C-FCL Real'!D156</f>
        <v>-66.467423087907349</v>
      </c>
      <c r="F39" s="51">
        <f>'C-FCL Real'!E156</f>
        <v>-60.313662893346404</v>
      </c>
      <c r="G39" s="51">
        <f>'C-FCL Real'!F156</f>
        <v>-1.5369996350625534</v>
      </c>
      <c r="H39" s="51">
        <f>'C-FCL Real'!G156</f>
        <v>-1.4345150799836688</v>
      </c>
      <c r="I39" s="51">
        <f>'C-FCL Real'!H156</f>
        <v>-1.3315488474959203</v>
      </c>
      <c r="J39" s="51">
        <f>'C-FCL Real'!I156</f>
        <v>-1.2280986737154755</v>
      </c>
      <c r="K39" s="51">
        <f>'C-FCL Real'!J156</f>
        <v>-1.1241622841182668</v>
      </c>
      <c r="L39" s="51">
        <f>'C-FCL Real'!K156</f>
        <v>-1.019737393489951</v>
      </c>
      <c r="M39" s="51">
        <f>'C-FCL Real'!L156</f>
        <v>-0.91482170587567779</v>
      </c>
      <c r="N39" s="51">
        <f>'C-FCL Real'!M156</f>
        <v>-0.80941291452962005</v>
      </c>
      <c r="O39" s="51">
        <f>'C-FCL Real'!N156</f>
        <v>-0.7035087018642372</v>
      </c>
      <c r="P39" s="51">
        <f>'C-FCL Real'!O156</f>
        <v>-0.59710673939933301</v>
      </c>
      <c r="Q39" s="51">
        <f>'C-FCL Real'!P156</f>
        <v>-0.49020468771083259</v>
      </c>
      <c r="R39" s="51">
        <f>'C-FCL Real'!Q156</f>
        <v>-0.38280019637939944</v>
      </c>
      <c r="S39" s="51">
        <f>'C-FCL Real'!O156</f>
        <v>-0.59710673939933301</v>
      </c>
      <c r="T39" s="51">
        <f>'C-FCL Real'!P156</f>
        <v>-0.49020468771083259</v>
      </c>
      <c r="U39" s="51">
        <f>'C-FCL Real'!Q156</f>
        <v>-0.38280019637939944</v>
      </c>
      <c r="V39" s="51">
        <f>'C-FCL Real'!R156</f>
        <v>-0.27489090393870796</v>
      </c>
      <c r="W39" s="51">
        <f>'C-FCL Real'!S156</f>
        <v>-0.16647443782354898</v>
      </c>
      <c r="X39" s="51">
        <f>'C-FCL Real'!T156</f>
        <v>-5.7548414317643903E-2</v>
      </c>
      <c r="Y39" s="51">
        <f>'C-FCL Real'!U156</f>
        <v>3.4247110589163729E-2</v>
      </c>
      <c r="Z39" s="51">
        <f>'C-FCL Real'!V156</f>
        <v>0.10681565122895804</v>
      </c>
      <c r="AA39" s="51">
        <f>'C-FCL Real'!W156</f>
        <v>0.17972526400975811</v>
      </c>
      <c r="AB39" s="51">
        <f>'C-FCL Real'!X156</f>
        <v>0.25297755197062666</v>
      </c>
      <c r="AC39" s="51">
        <f>'C-FCL Real'!Y156</f>
        <v>0.32657412568491601</v>
      </c>
      <c r="AD39" s="51">
        <f>'C-FCL Real'!Z156</f>
        <v>0.40051660329565808</v>
      </c>
      <c r="AE39" s="51">
        <f>'C-FCL Real'!AA156</f>
        <v>0.47480661055117213</v>
      </c>
      <c r="AF39" s="51">
        <f>'C-FCL Real'!AB156</f>
        <v>0.54944578084078788</v>
      </c>
      <c r="AG39" s="51">
        <f>'C-FCL Real'!AC156</f>
        <v>0.62443575523076289</v>
      </c>
      <c r="AH39" s="51">
        <f>'C-FCL Real'!AD156</f>
        <v>0.69977818250037382</v>
      </c>
      <c r="AI39" s="51">
        <f>'C-FCL Real'!AE156</f>
        <v>0.7754747191781477</v>
      </c>
      <c r="AJ39" s="1739">
        <f>'C-FCL Real'!AF156</f>
        <v>0.85152702957830984</v>
      </c>
      <c r="AK39" s="51">
        <f>'C-FCL Real'!AG156</f>
        <v>0.92793678583735273</v>
      </c>
      <c r="AL39" s="51">
        <f>'C-FCL Real'!AH156</f>
        <v>1.0047056679508122</v>
      </c>
      <c r="AM39" s="51">
        <f>'C-FCL Real'!AI156</f>
        <v>1.0818353638102045</v>
      </c>
      <c r="AN39" s="51">
        <f>'C-FCL Real'!AJ156</f>
        <v>1.1593275692401379</v>
      </c>
      <c r="AO39" s="51">
        <f>'C-FCL Real'!AK156</f>
        <v>1.2371839880355893</v>
      </c>
      <c r="AP39" s="51">
        <f>'C-FCL Real'!AL156</f>
        <v>1.3154063319993841</v>
      </c>
      <c r="AQ39" s="51">
        <f>'C-FCL Real'!AM156</f>
        <v>1.3939963209798016</v>
      </c>
      <c r="AR39" s="51">
        <f>'C-FCL Real'!AN156</f>
        <v>1.472955682908432</v>
      </c>
      <c r="AS39" s="51">
        <f>'C-FCL Real'!AO156</f>
        <v>1.5522861538381285</v>
      </c>
      <c r="AT39" s="51">
        <f>'C-FCL Real'!AP156</f>
        <v>1.631989477981191</v>
      </c>
      <c r="AU39" s="51">
        <f>'C-FCL Real'!AQ156</f>
        <v>1.7120674077477276</v>
      </c>
      <c r="AV39" s="51">
        <f>'C-FCL Real'!AR156</f>
        <v>1.7925217037841628</v>
      </c>
      <c r="AW39" s="51">
        <f>'C-FCL Real'!AS156</f>
        <v>1.8733541350119738</v>
      </c>
      <c r="AX39" s="51">
        <f>'C-FCL Real'!AT156</f>
        <v>1.9545664786665546</v>
      </c>
      <c r="AY39" s="51">
        <f>'C-FCL Real'!AU156</f>
        <v>2.036160520336312</v>
      </c>
      <c r="AZ39" s="51">
        <f>'C-FCL Real'!AV156</f>
        <v>2.1181380540019155</v>
      </c>
      <c r="BA39" s="51">
        <f>'C-FCL Real'!AW156</f>
        <v>2.200500882075751</v>
      </c>
      <c r="BB39" s="51">
        <f>'C-FCL Real'!AX156</f>
        <v>2.2832508154415287</v>
      </c>
      <c r="BC39" s="51">
        <f>'C-FCL Real'!AY156</f>
        <v>2.3663896734941279</v>
      </c>
      <c r="BD39" s="51">
        <f>'C-FCL Real'!AZ156</f>
        <v>2.4499192841795736</v>
      </c>
      <c r="BE39" s="51">
        <f>'C-FCL Real'!BA156</f>
        <v>2.5338414840352406</v>
      </c>
      <c r="BF39" s="51">
        <f>'C-FCL Real'!BB156</f>
        <v>2.6181581182302303</v>
      </c>
      <c r="BG39" s="51">
        <f>'C-FCL Real'!BC156</f>
        <v>2.7028710406059382</v>
      </c>
      <c r="BH39" s="51">
        <f>'C-FCL Real'!BD156</f>
        <v>0</v>
      </c>
    </row>
    <row r="40" spans="1:60" ht="15" hidden="1" customHeight="1" outlineLevel="1" x14ac:dyDescent="0.3">
      <c r="A40" s="1823">
        <f>C40*1000000/$C$16</f>
        <v>-53.377496435107368</v>
      </c>
      <c r="B40" s="1847" t="s">
        <v>1015</v>
      </c>
      <c r="C40" s="1808">
        <f>SUMIF($D$15:$BG$15,1,D40:BG40)</f>
        <v>-156.68367638000245</v>
      </c>
      <c r="D40" s="1804">
        <f t="shared" ref="D40:AK40" si="8">NPV($C$8,D39:D39)</f>
        <v>-34.468652642120048</v>
      </c>
      <c r="E40" s="51">
        <f t="shared" si="8"/>
        <v>-60.568091022332197</v>
      </c>
      <c r="F40" s="51">
        <f t="shared" si="8"/>
        <v>-54.960509288633503</v>
      </c>
      <c r="G40" s="51">
        <f t="shared" si="8"/>
        <v>-1.4005828640992832</v>
      </c>
      <c r="H40" s="51">
        <f t="shared" si="8"/>
        <v>-1.3071943502676042</v>
      </c>
      <c r="I40" s="51">
        <f t="shared" si="8"/>
        <v>-1.2133669104209226</v>
      </c>
      <c r="J40" s="51">
        <f t="shared" si="8"/>
        <v>-1.119098481606958</v>
      </c>
      <c r="K40" s="51">
        <f t="shared" si="8"/>
        <v>-1.0243869911775714</v>
      </c>
      <c r="L40" s="51">
        <f t="shared" si="8"/>
        <v>-0.92923035674316656</v>
      </c>
      <c r="M40" s="51">
        <f t="shared" si="8"/>
        <v>-0.83362648612691626</v>
      </c>
      <c r="N40" s="51">
        <f t="shared" si="8"/>
        <v>-0.73757327731877176</v>
      </c>
      <c r="O40" s="51">
        <f t="shared" si="8"/>
        <v>-0.64106861842923024</v>
      </c>
      <c r="P40" s="51">
        <f t="shared" si="8"/>
        <v>-0.54411038764291331</v>
      </c>
      <c r="Q40" s="51">
        <f t="shared" si="8"/>
        <v>-0.4466964531718905</v>
      </c>
      <c r="R40" s="51">
        <f t="shared" si="8"/>
        <v>-0.34882467320885679</v>
      </c>
      <c r="S40" s="51">
        <f t="shared" si="8"/>
        <v>-0.54411038764291331</v>
      </c>
      <c r="T40" s="51">
        <f t="shared" si="8"/>
        <v>-0.4466964531718905</v>
      </c>
      <c r="U40" s="51">
        <f t="shared" si="8"/>
        <v>-0.34882467320885679</v>
      </c>
      <c r="V40" s="51">
        <f t="shared" si="8"/>
        <v>-0.25049289587999635</v>
      </c>
      <c r="W40" s="51">
        <f t="shared" si="8"/>
        <v>-0.15169895919769363</v>
      </c>
      <c r="X40" s="51">
        <f t="shared" si="8"/>
        <v>-5.2440691012979684E-2</v>
      </c>
      <c r="Y40" s="51">
        <f t="shared" si="8"/>
        <v>3.1207500081249982E-2</v>
      </c>
      <c r="Z40" s="51">
        <f t="shared" si="8"/>
        <v>9.7335202504973614E-2</v>
      </c>
      <c r="AA40" s="51">
        <f t="shared" si="8"/>
        <v>0.1637737051300876</v>
      </c>
      <c r="AB40" s="51">
        <f t="shared" si="8"/>
        <v>0.23052446871753843</v>
      </c>
      <c r="AC40" s="51">
        <f t="shared" si="8"/>
        <v>0.29758896089385461</v>
      </c>
      <c r="AD40" s="51">
        <f t="shared" si="8"/>
        <v>0.36496865618339541</v>
      </c>
      <c r="AE40" s="51">
        <f t="shared" si="8"/>
        <v>0.43266503604079837</v>
      </c>
      <c r="AF40" s="51">
        <f t="shared" si="8"/>
        <v>0.50067958888353192</v>
      </c>
      <c r="AG40" s="51">
        <f t="shared" si="8"/>
        <v>0.56901381012462449</v>
      </c>
      <c r="AH40" s="51">
        <f t="shared" si="8"/>
        <v>0.63766920220555301</v>
      </c>
      <c r="AI40" s="51">
        <f t="shared" si="8"/>
        <v>0.70664727462925803</v>
      </c>
      <c r="AJ40" s="1739">
        <f t="shared" si="8"/>
        <v>0.77594954399335692</v>
      </c>
      <c r="AK40" s="51">
        <f t="shared" si="8"/>
        <v>0.84557753402346714</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275.64921030521543</v>
      </c>
      <c r="B42" s="1793" t="s">
        <v>1003</v>
      </c>
      <c r="C42" s="1810"/>
      <c r="D42" s="1804">
        <f>'C-FCL Real'!C157</f>
        <v>-37.825899409462536</v>
      </c>
      <c r="E42" s="51">
        <f>'C-FCL Real'!D157</f>
        <v>-104.29332249736989</v>
      </c>
      <c r="F42" s="51">
        <f>'C-FCL Real'!E157</f>
        <v>-164.60698539071629</v>
      </c>
      <c r="G42" s="51">
        <f>'C-FCL Real'!F157</f>
        <v>-166.14398502577885</v>
      </c>
      <c r="H42" s="51">
        <f>'C-FCL Real'!G157</f>
        <v>-167.57850010576252</v>
      </c>
      <c r="I42" s="51">
        <f>'C-FCL Real'!H157</f>
        <v>-168.91004895325844</v>
      </c>
      <c r="J42" s="51">
        <f>'C-FCL Real'!I157</f>
        <v>-170.1381476269739</v>
      </c>
      <c r="K42" s="51">
        <f>'C-FCL Real'!J157</f>
        <v>-171.26230991109216</v>
      </c>
      <c r="L42" s="51">
        <f>'C-FCL Real'!K157</f>
        <v>-172.28204730458211</v>
      </c>
      <c r="M42" s="51">
        <f>'C-FCL Real'!L157</f>
        <v>-173.19686901045779</v>
      </c>
      <c r="N42" s="51">
        <f>'C-FCL Real'!M157</f>
        <v>-174.00628192498741</v>
      </c>
      <c r="O42" s="51">
        <f>'C-FCL Real'!N157</f>
        <v>-174.70979062685166</v>
      </c>
      <c r="P42" s="51">
        <f>'C-FCL Real'!O157</f>
        <v>-175.30689736625098</v>
      </c>
      <c r="Q42" s="51">
        <f>'C-FCL Real'!P157</f>
        <v>-175.79710205396182</v>
      </c>
      <c r="R42" s="51">
        <f>'C-FCL Real'!Q157</f>
        <v>-176.17990225034123</v>
      </c>
      <c r="S42" s="51">
        <f>'C-FCL Real'!O157</f>
        <v>-175.30689736625098</v>
      </c>
      <c r="T42" s="51">
        <f>'C-FCL Real'!P157</f>
        <v>-175.79710205396182</v>
      </c>
      <c r="U42" s="51">
        <f>'C-FCL Real'!Q157</f>
        <v>-176.17990225034123</v>
      </c>
      <c r="V42" s="51">
        <f>'C-FCL Real'!R157</f>
        <v>-176.45479315427994</v>
      </c>
      <c r="W42" s="51">
        <f>'C-FCL Real'!S157</f>
        <v>-176.62126759210349</v>
      </c>
      <c r="X42" s="51">
        <f>'C-FCL Real'!T157</f>
        <v>-176.67881600642113</v>
      </c>
      <c r="Y42" s="51">
        <f>'C-FCL Real'!U157</f>
        <v>-176.64456889583195</v>
      </c>
      <c r="Z42" s="51">
        <f>'C-FCL Real'!V157</f>
        <v>-176.53775324460298</v>
      </c>
      <c r="AA42" s="51">
        <f>'C-FCL Real'!W157</f>
        <v>-176.35802798059322</v>
      </c>
      <c r="AB42" s="51">
        <f>'C-FCL Real'!X157</f>
        <v>-176.1050504286226</v>
      </c>
      <c r="AC42" s="51">
        <f>'C-FCL Real'!Y157</f>
        <v>-175.77847630293769</v>
      </c>
      <c r="AD42" s="51">
        <f>'C-FCL Real'!Z157</f>
        <v>-175.37795969964202</v>
      </c>
      <c r="AE42" s="51">
        <f>'C-FCL Real'!AA157</f>
        <v>-174.90315308909084</v>
      </c>
      <c r="AF42" s="51">
        <f>'C-FCL Real'!AB157</f>
        <v>-174.35370730825005</v>
      </c>
      <c r="AG42" s="51">
        <f>'C-FCL Real'!AC157</f>
        <v>-173.72927155301929</v>
      </c>
      <c r="AH42" s="51">
        <f>'C-FCL Real'!AD157</f>
        <v>-173.02949337051891</v>
      </c>
      <c r="AI42" s="51">
        <f>'C-FCL Real'!AE157</f>
        <v>-172.25401865134077</v>
      </c>
      <c r="AJ42" s="1739">
        <f>'C-FCL Real'!AF157</f>
        <v>-171.40249162176247</v>
      </c>
      <c r="AK42" s="51">
        <f>'C-FCL Real'!AG157</f>
        <v>-170.47455483592512</v>
      </c>
      <c r="AL42" s="51">
        <f>'C-FCL Real'!AH157</f>
        <v>-169.4698491679743</v>
      </c>
      <c r="AM42" s="51">
        <f>'C-FCL Real'!AI157</f>
        <v>-168.3880138041641</v>
      </c>
      <c r="AN42" s="51">
        <f>'C-FCL Real'!AJ157</f>
        <v>-167.22868623492397</v>
      </c>
      <c r="AO42" s="51">
        <f>'C-FCL Real'!AK157</f>
        <v>-165.99150224688839</v>
      </c>
      <c r="AP42" s="51">
        <f>'C-FCL Real'!AL157</f>
        <v>-164.676095914889</v>
      </c>
      <c r="AQ42" s="51">
        <f>'C-FCL Real'!AM157</f>
        <v>-163.28209959390921</v>
      </c>
      <c r="AR42" s="51">
        <f>'C-FCL Real'!AN157</f>
        <v>-161.80914391100077</v>
      </c>
      <c r="AS42" s="51">
        <f>'C-FCL Real'!AO157</f>
        <v>-160.25685775716263</v>
      </c>
      <c r="AT42" s="51">
        <f>'C-FCL Real'!AP157</f>
        <v>-158.62486827918144</v>
      </c>
      <c r="AU42" s="51">
        <f>'C-FCL Real'!AQ157</f>
        <v>-156.91280087143372</v>
      </c>
      <c r="AV42" s="51">
        <f>'C-FCL Real'!AR157</f>
        <v>-155.12027916764956</v>
      </c>
      <c r="AW42" s="51">
        <f>'C-FCL Real'!AS157</f>
        <v>-153.24692503263759</v>
      </c>
      <c r="AX42" s="51">
        <f>'C-FCL Real'!AT157</f>
        <v>-151.29235855397104</v>
      </c>
      <c r="AY42" s="51">
        <f>'C-FCL Real'!AU157</f>
        <v>-149.25619803363472</v>
      </c>
      <c r="AZ42" s="51">
        <f>'C-FCL Real'!AV157</f>
        <v>-147.1380599796328</v>
      </c>
      <c r="BA42" s="51">
        <f>'C-FCL Real'!AW157</f>
        <v>-144.93755909755706</v>
      </c>
      <c r="BB42" s="51">
        <f>'C-FCL Real'!AX157</f>
        <v>-142.65430828211552</v>
      </c>
      <c r="BC42" s="51">
        <f>'C-FCL Real'!AY157</f>
        <v>-140.2879186086214</v>
      </c>
      <c r="BD42" s="51">
        <f>'C-FCL Real'!AZ157</f>
        <v>-137.83799932444182</v>
      </c>
      <c r="BE42" s="51">
        <f>'C-FCL Real'!BA157</f>
        <v>-135.30415784040659</v>
      </c>
      <c r="BF42" s="51">
        <f>'C-FCL Real'!BB157</f>
        <v>-132.68599972217635</v>
      </c>
      <c r="BG42" s="51">
        <f>'C-FCL Real'!BC157</f>
        <v>-129.98312868157041</v>
      </c>
      <c r="BH42" s="51">
        <f>'C-FCL Real'!BD157</f>
        <v>0</v>
      </c>
    </row>
    <row r="43" spans="1:60" ht="15" hidden="1" customHeight="1" outlineLevel="1" x14ac:dyDescent="0.3">
      <c r="A43" s="1823">
        <f>A18+A21+A36</f>
        <v>333.88340137458147</v>
      </c>
      <c r="B43" s="1793" t="s">
        <v>1042</v>
      </c>
      <c r="C43" s="1811">
        <f>'R&amp;C-Painel de Controle'!D32</f>
        <v>35</v>
      </c>
      <c r="D43" s="1796" t="s">
        <v>309</v>
      </c>
    </row>
    <row r="44" spans="1:60" ht="15" hidden="1" customHeight="1" outlineLevel="1" x14ac:dyDescent="0.3">
      <c r="A44" s="1823">
        <f>A42-A43</f>
        <v>-58.234191069366034</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737.36786747820418</v>
      </c>
      <c r="D46" s="1758" t="s">
        <v>1061</v>
      </c>
      <c r="E46" s="1758"/>
      <c r="F46" s="1775">
        <f>A27</f>
        <v>251.19943332338056</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71.769588310354095</v>
      </c>
      <c r="D48" s="1758" t="s">
        <v>1061</v>
      </c>
      <c r="E48" s="1758"/>
      <c r="F48" s="1775">
        <f>A30</f>
        <v>24.44977698183488</v>
      </c>
      <c r="G48" s="1758" t="s">
        <v>342</v>
      </c>
      <c r="H48" s="1758"/>
    </row>
    <row r="49" spans="1:35" s="42" customFormat="1" ht="15" hidden="1" customHeight="1" outlineLevel="1" thickTop="1" x14ac:dyDescent="0.3">
      <c r="A49" s="1740"/>
      <c r="B49" s="1759" t="s">
        <v>1025</v>
      </c>
      <c r="C49" s="1777">
        <f>C46+C47+C48</f>
        <v>809.13745578855833</v>
      </c>
      <c r="D49" s="1760" t="s">
        <v>1061</v>
      </c>
      <c r="E49" s="1760"/>
      <c r="F49" s="1761">
        <f>F46+F47+F48</f>
        <v>275.64921030521543</v>
      </c>
      <c r="G49" s="1760" t="s">
        <v>342</v>
      </c>
      <c r="H49" s="1760"/>
      <c r="AI49" s="1740"/>
    </row>
    <row r="50" spans="1:35" ht="15" hidden="1" customHeight="1" outlineLevel="1" x14ac:dyDescent="0.3">
      <c r="B50" s="1869" t="s">
        <v>1027</v>
      </c>
      <c r="C50" s="1870">
        <f>F50*$C$16/1000000</f>
        <v>976.3637063905195</v>
      </c>
      <c r="D50" s="1871" t="s">
        <v>1061</v>
      </c>
      <c r="E50" s="1871"/>
      <c r="F50" s="1872">
        <f>A18+A21</f>
        <v>332.61825010304472</v>
      </c>
      <c r="G50" s="1871" t="s">
        <v>342</v>
      </c>
      <c r="H50" s="1871"/>
    </row>
    <row r="51" spans="1:35" ht="15" hidden="1" customHeight="1" outlineLevel="1" x14ac:dyDescent="0.3">
      <c r="B51" s="1738" t="s">
        <v>1028</v>
      </c>
      <c r="C51" s="1821">
        <f>F51*$C$16/1000000</f>
        <v>3.7137101895028968</v>
      </c>
      <c r="D51" s="1758" t="s">
        <v>1061</v>
      </c>
      <c r="E51" s="1758"/>
      <c r="F51" s="1776">
        <f>A36</f>
        <v>1.2651512715367503</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-170.93996079146407</v>
      </c>
      <c r="D53" s="1845" t="s">
        <v>1061</v>
      </c>
      <c r="E53" s="1845"/>
      <c r="F53" s="1846">
        <f>F49-F50-F51</f>
        <v>-58.234191069366034</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6477538.6999685923</v>
      </c>
      <c r="D57" s="1752" t="s">
        <v>1016</v>
      </c>
      <c r="E57" s="1752"/>
      <c r="F57" s="1753">
        <f>C57/'R&amp;C-Painel de Controle'!$D$8</f>
        <v>83.045367948315288</v>
      </c>
      <c r="G57" s="1752" t="s">
        <v>342</v>
      </c>
      <c r="H57" s="1754">
        <f>F57/$F$99</f>
        <v>0.29143752722678978</v>
      </c>
      <c r="AI57" s="925"/>
    </row>
    <row r="58" spans="1:35" s="1735" customFormat="1" ht="15" hidden="1" customHeight="1" outlineLevel="1" x14ac:dyDescent="0.3">
      <c r="A58" s="1745"/>
      <c r="B58" s="1747" t="s">
        <v>1034</v>
      </c>
      <c r="C58" s="1813">
        <f>('R&amp;C-Painel de Controle'!D8-'R&amp;C-Painel de Controle'!D9)</f>
        <v>50714.039999999994</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127.72673405566965</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6073171.6252037548</v>
      </c>
      <c r="D61" s="1849" t="s">
        <v>1016</v>
      </c>
      <c r="E61" s="1849"/>
      <c r="F61" s="1850">
        <f>C61/'R&amp;C-Painel de Controle'!$D$8</f>
        <v>77.861174682099417</v>
      </c>
      <c r="G61" s="1849" t="s">
        <v>342</v>
      </c>
      <c r="H61" s="1851">
        <f>F61/$F$99</f>
        <v>0.27324423717945034</v>
      </c>
      <c r="AI61" s="925"/>
    </row>
    <row r="62" spans="1:35" s="1735" customFormat="1" ht="15" hidden="1" customHeight="1" outlineLevel="1" x14ac:dyDescent="0.3">
      <c r="A62" s="1745"/>
      <c r="B62" s="1741" t="str">
        <f>'R&amp;C-Painel de Controle'!J36</f>
        <v>Mat. Recicl.: Papel/Papelão — Triagem Mecanizada</v>
      </c>
      <c r="C62" s="1816">
        <f>'R&amp;C-Painel de Controle'!L36</f>
        <v>2769.5653569011492</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1881.6131050702463</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972.51913295765542</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507.40128676051592</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126.85032169012898</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486.25956647882771</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2535768.3616280961</v>
      </c>
      <c r="D78" s="1758" t="s">
        <v>1016</v>
      </c>
      <c r="E78" s="1758"/>
      <c r="F78" s="1776">
        <f>C78/'R&amp;C-Painel de Controle'!$D$8</f>
        <v>32.509850790103798</v>
      </c>
      <c r="G78" s="1758" t="s">
        <v>342</v>
      </c>
      <c r="H78" s="1852">
        <f>F78/$F$99</f>
        <v>0.11408933163709292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3550075.7062793341</v>
      </c>
      <c r="D79" s="1758" t="s">
        <v>1016</v>
      </c>
      <c r="E79" s="1758"/>
      <c r="F79" s="1776">
        <f>C79/'R&amp;C-Painel de Controle'!$D$8</f>
        <v>45.513791106145312</v>
      </c>
      <c r="G79" s="1758" t="s">
        <v>342</v>
      </c>
      <c r="H79" s="1852">
        <f>F79/$F$99</f>
        <v>0.15972506429193006</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1253681.5395805717</v>
      </c>
      <c r="D81" s="1855" t="s">
        <v>1016</v>
      </c>
      <c r="E81" s="1855"/>
      <c r="F81" s="1856">
        <f>C81/'R&amp;C-Painel de Controle'!$D$8</f>
        <v>16.072840251032972</v>
      </c>
      <c r="G81" s="1855" t="s">
        <v>342</v>
      </c>
      <c r="H81" s="1857">
        <f>F81/$F$99</f>
        <v>5.640566035167157E-2</v>
      </c>
    </row>
    <row r="82" spans="1:35" ht="15" hidden="1" customHeight="1" outlineLevel="1" x14ac:dyDescent="0.3">
      <c r="B82" s="1755" t="s">
        <v>1037</v>
      </c>
      <c r="C82" s="1786">
        <f>'R&amp;C-Painel de Controle'!D8</f>
        <v>78000</v>
      </c>
      <c r="D82" s="1745" t="s">
        <v>298</v>
      </c>
      <c r="E82" s="1745"/>
      <c r="F82" s="1771"/>
      <c r="G82" s="1745"/>
      <c r="H82" s="1772"/>
    </row>
    <row r="83" spans="1:35" ht="15" hidden="1" customHeight="1" outlineLevel="1" x14ac:dyDescent="0.3">
      <c r="B83" s="1755" t="s">
        <v>1038</v>
      </c>
      <c r="C83" s="1786">
        <f>'R&amp;C-Painel de Controle'!D33</f>
        <v>292.94394556662456</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118.8035810584785</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116232.94976466517</v>
      </c>
      <c r="D88" s="1855" t="s">
        <v>1016</v>
      </c>
      <c r="E88" s="1855"/>
      <c r="F88" s="1856">
        <f>C88/'R&amp;C-Painel de Controle'!$D$8</f>
        <v>1.4901660226239124</v>
      </c>
      <c r="G88" s="1855" t="s">
        <v>342</v>
      </c>
      <c r="H88" s="1857">
        <f>F88/$F$99</f>
        <v>5.2295547785540736E-3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2219696.5726775648</v>
      </c>
      <c r="D92" s="1855" t="s">
        <v>1016</v>
      </c>
      <c r="E92" s="1858"/>
      <c r="F92" s="1859">
        <f>C92/'R&amp;C-Painel de Controle'!$D$8</f>
        <v>28.457648367661086</v>
      </c>
      <c r="G92" s="1858" t="s">
        <v>342</v>
      </c>
      <c r="H92" s="1860">
        <f>F92/$F$99</f>
        <v>9.9868624534511299E-2</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78000</v>
      </c>
      <c r="D94" s="1745" t="s">
        <v>298</v>
      </c>
      <c r="E94" s="1745"/>
      <c r="F94" s="1771"/>
      <c r="G94" s="1745"/>
      <c r="H94" s="1772"/>
    </row>
    <row r="95" spans="1:35" ht="15" hidden="1" customHeight="1" outlineLevel="1" x14ac:dyDescent="0.3">
      <c r="B95" s="1755" t="s">
        <v>1038</v>
      </c>
      <c r="C95" s="1786">
        <f>C83</f>
        <v>292.94394556662456</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118.8035810584785</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22226165.455102578</v>
      </c>
      <c r="D99" s="1863" t="s">
        <v>1016</v>
      </c>
      <c r="E99" s="1864"/>
      <c r="F99" s="1865">
        <f>C99/'R&amp;C-Painel de Controle'!$D$8</f>
        <v>284.95083916798177</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78000</v>
      </c>
      <c r="D103" s="1875" t="s">
        <v>298</v>
      </c>
      <c r="E103" s="1876"/>
      <c r="F103" s="1876"/>
      <c r="G103" s="1876"/>
      <c r="H103" s="1876"/>
    </row>
    <row r="104" spans="1:35" s="1783" customFormat="1" ht="15" hidden="1" customHeight="1" outlineLevel="1" x14ac:dyDescent="0.3">
      <c r="A104" s="383"/>
      <c r="B104" s="1873" t="s">
        <v>1069</v>
      </c>
      <c r="C104" s="1874">
        <f>C103/312</f>
        <v>250</v>
      </c>
      <c r="D104" s="1875" t="s">
        <v>21</v>
      </c>
      <c r="E104" s="1876"/>
      <c r="F104" s="1876"/>
      <c r="G104" s="1876"/>
      <c r="H104" s="1876"/>
      <c r="AI104" s="383"/>
    </row>
    <row r="105" spans="1:35" ht="15" hidden="1" customHeight="1" outlineLevel="1" x14ac:dyDescent="0.3">
      <c r="B105" s="1877" t="s">
        <v>1071</v>
      </c>
      <c r="C105" s="1874">
        <f>'R&amp;C-Painel de Controle'!D48</f>
        <v>84566.881126752647</v>
      </c>
      <c r="D105" s="1875" t="s">
        <v>298</v>
      </c>
      <c r="E105" s="1876"/>
      <c r="F105" s="1876"/>
      <c r="G105" s="1876"/>
      <c r="H105" s="1876"/>
    </row>
    <row r="106" spans="1:35" s="1783" customFormat="1" ht="15" hidden="1" customHeight="1" outlineLevel="1" x14ac:dyDescent="0.3">
      <c r="A106" s="383"/>
      <c r="B106" s="1877" t="s">
        <v>1086</v>
      </c>
      <c r="C106" s="1874">
        <f>C105/312</f>
        <v>271.04769591907899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3578.4231933593751</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56.024374999999999</v>
      </c>
      <c r="D112" s="1884" t="s">
        <v>1065</v>
      </c>
      <c r="E112" s="1885"/>
      <c r="F112" s="1885"/>
      <c r="G112" s="1885"/>
      <c r="H112" s="1885"/>
      <c r="AI112" s="1745"/>
    </row>
    <row r="113" spans="1:35" ht="15" hidden="1" customHeight="1" outlineLevel="1" x14ac:dyDescent="0.3">
      <c r="B113" s="1793"/>
      <c r="C113" s="1809">
        <f>C112*312*$C$106/$C$104/1000</f>
        <v>18.951226643302451</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87.455000000000013</v>
      </c>
      <c r="D115" s="1884" t="s">
        <v>1065</v>
      </c>
      <c r="E115" s="1885"/>
      <c r="F115" s="1885"/>
      <c r="G115" s="1885"/>
      <c r="H115" s="1885"/>
      <c r="AI115" s="1745"/>
    </row>
    <row r="116" spans="1:35" ht="15" hidden="1" customHeight="1" outlineLevel="1" x14ac:dyDescent="0.3">
      <c r="B116" s="1834"/>
      <c r="C116" s="1809">
        <f>C115*312*$C$106/$C$104/1000</f>
        <v>29.583186355760613</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106.520625</v>
      </c>
      <c r="D118" s="1884" t="s">
        <v>1065</v>
      </c>
      <c r="E118" s="1885"/>
      <c r="F118" s="1885"/>
      <c r="G118" s="1885"/>
      <c r="H118" s="1885"/>
      <c r="AI118" s="1745"/>
    </row>
    <row r="119" spans="1:35" ht="15" hidden="1" customHeight="1" outlineLevel="1" thickBot="1" x14ac:dyDescent="0.35">
      <c r="B119" s="1829"/>
      <c r="C119" s="1913">
        <f>C118*312*$C$106/$C$104/1000</f>
        <v>36.032468127689576</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19.9375</v>
      </c>
      <c r="D122" s="1880" t="s">
        <v>1065</v>
      </c>
      <c r="E122" s="1876"/>
      <c r="F122" s="1876"/>
      <c r="G122" s="1876"/>
      <c r="H122" s="1876"/>
      <c r="AI122" s="383"/>
    </row>
    <row r="123" spans="1:35" s="1783" customFormat="1" ht="15" hidden="1" customHeight="1" outlineLevel="1" x14ac:dyDescent="0.3">
      <c r="A123" s="383"/>
      <c r="B123" s="2390"/>
      <c r="C123" s="1809">
        <f>C122*312*$C$106/$C$104/1000</f>
        <v>6.7442087698585231</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86.583124999999995</v>
      </c>
      <c r="D125" s="1880" t="s">
        <v>1065</v>
      </c>
      <c r="E125" s="1876"/>
      <c r="F125" s="1876"/>
      <c r="G125" s="1876"/>
      <c r="H125" s="1876"/>
      <c r="AI125" s="383"/>
    </row>
    <row r="126" spans="1:35" s="1783" customFormat="1" ht="15" hidden="1" customHeight="1" outlineLevel="1" x14ac:dyDescent="0.3">
      <c r="A126" s="383"/>
      <c r="B126" s="2390"/>
      <c r="C126" s="1809">
        <f>C125*312*$C$106/$C$104/1000</f>
        <v>29.288259357831059</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0</v>
      </c>
      <c r="D128" s="1880" t="s">
        <v>1065</v>
      </c>
      <c r="E128" s="1876"/>
      <c r="F128" s="1876"/>
      <c r="G128" s="1876"/>
      <c r="H128" s="1876"/>
      <c r="AI128" s="383"/>
    </row>
    <row r="129" spans="1:35" s="1783" customFormat="1" ht="15" hidden="1" customHeight="1" outlineLevel="1" x14ac:dyDescent="0.3">
      <c r="A129" s="383"/>
      <c r="B129" s="2390"/>
      <c r="C129" s="1809">
        <f>C128*312*$C$106/$C$104/1000</f>
        <v>0</v>
      </c>
      <c r="D129" s="1835" t="s">
        <v>1063</v>
      </c>
      <c r="E129" s="1836"/>
      <c r="F129" s="1836"/>
      <c r="G129" s="1836"/>
      <c r="H129" s="1836"/>
      <c r="AI129" s="383"/>
    </row>
    <row r="130" spans="1:35" ht="15" hidden="1" customHeight="1" outlineLevel="1" x14ac:dyDescent="0.3">
      <c r="B130" s="2388" t="s">
        <v>1122</v>
      </c>
      <c r="C130" s="2100">
        <f>IF('R-Definição'!E112&gt;0,'R-Definição'!O111/'R-Definição'!E112,0)</f>
        <v>0</v>
      </c>
      <c r="D130" s="1796" t="s">
        <v>1124</v>
      </c>
      <c r="E130" s="1192"/>
      <c r="F130" s="1192"/>
      <c r="G130" s="1192"/>
      <c r="H130" s="1192"/>
    </row>
    <row r="131" spans="1:35" s="1783" customFormat="1" ht="15" hidden="1" customHeight="1" outlineLevel="1" x14ac:dyDescent="0.3">
      <c r="A131" s="383"/>
      <c r="B131" s="2389"/>
      <c r="C131" s="2101">
        <f>C130*C106</f>
        <v>0</v>
      </c>
      <c r="D131" s="1880" t="s">
        <v>1067</v>
      </c>
      <c r="E131" s="1876"/>
      <c r="F131" s="1876"/>
      <c r="G131" s="1876"/>
      <c r="H131" s="1876"/>
      <c r="AI131" s="383"/>
    </row>
    <row r="132" spans="1:35" s="1783" customFormat="1" ht="15" hidden="1" customHeight="1" outlineLevel="1" x14ac:dyDescent="0.3">
      <c r="A132" s="383"/>
      <c r="B132" s="2390"/>
      <c r="C132" s="1867">
        <f>C130*C105/1000</f>
        <v>0</v>
      </c>
      <c r="D132" s="1835" t="s">
        <v>306</v>
      </c>
      <c r="E132" s="1836"/>
      <c r="F132" s="1836"/>
      <c r="G132" s="1836"/>
      <c r="H132" s="1836"/>
      <c r="AI132" s="383"/>
    </row>
    <row r="133" spans="1:35" s="2099" customFormat="1" ht="15" hidden="1" customHeight="1" outlineLevel="1" x14ac:dyDescent="0.3">
      <c r="A133" s="383"/>
      <c r="B133" s="2388" t="s">
        <v>1123</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V12" sqref="V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250</v>
      </c>
      <c r="E2" s="1098" t="s">
        <v>21</v>
      </c>
      <c r="H2" s="1305">
        <f>D2*313</f>
        <v>78250</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5000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38.27729587999999</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4.7704944409769155E-2</v>
      </c>
      <c r="E18" s="1035">
        <f>(IF(E$7="SIM",$H$2*D18/1000,"-"))</f>
        <v>3.7329119000644364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56.183509461433225</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718.00012091288465</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1.1006181818440726</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f>(IF(E$7="SIM",(E31)*2.4*12/$H$2,"-"))</f>
        <v>50.791054313099039</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7697.8125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37.347965681789127</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7.6677316293929714</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
        <v>118.58742678670927</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f>(IF(E$7="SIM",E42*$H$2/1000000,"-"))</f>
        <v>9.2794661460600008</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83.683912409712477</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V12" sqref="V12"/>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254.65625</v>
      </c>
      <c r="E2" s="1098" t="s">
        <v>21</v>
      </c>
      <c r="F2" s="1087"/>
      <c r="G2" s="1087"/>
      <c r="H2" s="1305">
        <f>D2*313</f>
        <v>79707.40625</v>
      </c>
      <c r="I2" s="1304" t="s">
        <v>298</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5100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 "-")</f>
        <v>51.994541669870536</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38.816595329168102</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f>(IF(E$7="SIM",('R&amp;C-Painel de Controle'!$D$55+0.25)*D17/1000000,"-"))</f>
        <v>2.8166256555322952E-3</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f>IF(E7="SIM",(E15+E16)*F18*1000/$H$2,"-")</f>
        <v>5.6965306783545375E-2</v>
      </c>
      <c r="E18" s="1035">
        <f>(IF(E$7="SIM",$H$2*D18/1000,""))</f>
        <v>4.5405568499519324</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f>IF(E7="SIM",SUM(E15:E18)*(1+D19),"-")</f>
        <v>100.1222359983784</v>
      </c>
      <c r="F19" s="1303">
        <f>IF(E7="SIM",(E16)/E19,"-")</f>
        <v>0.38769205403879298</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f>IF(E7="SIM",E19*1000000/$H$2,"-")</f>
        <v>1256.1221184935798</v>
      </c>
      <c r="F20" s="1207">
        <f>IF(E7="SIM",E16/E19,"-")</f>
        <v>0.38769205403879298</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-0.635625</v>
      </c>
      <c r="I22" s="371"/>
      <c r="J22" s="365">
        <f>((J11-$D$2)/(J11-H11))</f>
        <v>1.6356250000000001</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f>IF(E7="SIM",(E15*F15+E16*F16)/4,"-")</f>
        <v>1.7850709833613647</v>
      </c>
      <c r="F23" s="365"/>
      <c r="G23" s="928"/>
      <c r="H23" s="365">
        <f>(L15*(($D$2-H11)/(J11-H11))*$H$2/1000)*I21*$D$5*(1+'R&amp;C-Painel de Controle'!$D$54)*(1+'R&amp;C-Painel de Controle'!$D$61)</f>
        <v>-5177.8628539804686</v>
      </c>
      <c r="I23" s="371" t="str">
        <f>IF(I7="SIM",(I15*J15+I16*J16)/4,"-")</f>
        <v>-</v>
      </c>
      <c r="J23" s="365">
        <f>((L15*(($D$2-H11)/(J11-H11))*$H$2/1000)*(1-I21)*'R&amp;C-Painel de Controle'!$D$52*(1+'R&amp;C-Painel de Controle'!$D$54))/1000</f>
        <v>-23.300382842912107</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f>(IF(E$7="SIM",(E31)*2.4*12/$H$2,"-"))</f>
        <v>11.923609670839088</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9237.375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f>(IF(E$7="SIM",(E15*1000000*E36+E37*12)/$H$2,"-"))</f>
        <v>40.143409929281532</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f>(IF(E$7="SIM",D38*E39*E40*12/$H$2,"-"))</f>
        <v>7.5275313578529595</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f>(IF(E$7="SIM",5+2.5+1*'R&amp;C-Painel de Controle'!$D$74,"-"))</f>
        <v>10.5</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f>(IF(E$7="SIM",(E27+E32+E35+E38+E41)*(1+D42),"-"))</f>
        <v>77.104006053770945</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f>(IF(E$7="SIM",E42*$H$2/1000000,"-"))</f>
        <v>6.1457603340303804</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f>(IF(E$7="SIM",(((E27*$H$2/12)+(E34/1000*'R&amp;C-Painel de Controle'!$D$69*12)+(E37*12)+(E39*E40*12))/1000000),"-"))</f>
        <v>1.8792</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f>(IF(E$7="SIM",((E43-E44)*1000000)/$H$2,"-"))</f>
        <v>53.527777840975482</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147.45500000000001</v>
      </c>
      <c r="E2" s="1098" t="s">
        <v>21</v>
      </c>
      <c r="F2" s="1307"/>
      <c r="G2" s="1307"/>
      <c r="H2" s="1305">
        <f>D2*313</f>
        <v>46153.415000000001</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1.1341848424749998</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10.415472852224999</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2.8645317238749999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14.414189418574999</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312.31035490169035</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5.5268848588374997</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12.415904579967084</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1.1610440679074305</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0.61786199919297213</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0.5431820687144584</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1.0635945830555556E-2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1.0635945830555556E-2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0.14593191711105558</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3.1249929697777741E-2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4.2533640090611148E-2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1.5143893749999997E-3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7.0633957947666692E-2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1.6055700248229923</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1.0905910312075893</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2.6443127790569457E-2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4.1603371874999996E-2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0.44693249394983348</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2.0615371171262358</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1.7889335296262356</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9.0021277499999997E-2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0.18258231</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118.8035810584785</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5.4831909800780974</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1.5089409149881308</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86.109555817049866</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2022-07-23T22:25:17Z</dcterms:modified>
</cp:coreProperties>
</file>