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05 Mar\templates\"/>
    </mc:Choice>
  </mc:AlternateContent>
  <xr:revisionPtr revIDLastSave="0" documentId="13_ncr:1_{F0C73EA7-A228-4D04-A361-ED22BF060AAB}" xr6:coauthVersionLast="47" xr6:coauthVersionMax="47" xr10:uidLastSave="{00000000-0000-0000-0000-000000000000}"/>
  <bookViews>
    <workbookView xWindow="-120" yWindow="-120" windowWidth="29040" windowHeight="15720" tabRatio="882" firstSheet="5"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<sst xmlns="http://schemas.openxmlformats.org/spreadsheetml/2006/main" count="2486" uniqueCount="1034">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</sst>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3">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1">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2" borderId="23" xfId="0" applyFont="1" applyFill="1" applyBorder="1" applyAlignment="1">
      <alignment horizontal="right" vertical="center"/>
    </xf>
    <xf numFmtId="164" fontId="7" fillId="62" borderId="165" xfId="1" applyNumberFormat="1" applyFont="1" applyFill="1" applyBorder="1" applyAlignment="1">
      <alignment horizontal="center" vertical="center"/>
    </xf>
    <xf numFmtId="0" fontId="28"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59" fillId="16" borderId="30" xfId="0" applyFont="1" applyFill="1" applyBorder="1" applyAlignment="1">
      <alignment horizontal="center" vertical="center"/>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69" fillId="16" borderId="30" xfId="0" applyFont="1" applyFill="1" applyBorder="1" applyAlignment="1">
      <alignment horizontal="center" vertical="center" wrapText="1"/>
    </xf>
    <xf numFmtId="0" fontId="70" fillId="16" borderId="30" xfId="0" applyFont="1" applyFill="1" applyBorder="1"/>
    <xf numFmtId="0" fontId="59" fillId="16" borderId="34" xfId="0" applyFont="1" applyFill="1" applyBorder="1" applyAlignment="1">
      <alignment horizontal="center" vertical="center" wrapText="1"/>
    </xf>
    <xf numFmtId="0" fontId="60" fillId="16" borderId="30" xfId="0" applyFont="1" applyFill="1" applyBorder="1"/>
    <xf numFmtId="0" fontId="59" fillId="16" borderId="30" xfId="0" applyFont="1" applyFill="1" applyBorder="1" applyAlignment="1">
      <alignment horizontal="center" vertical="center" wrapText="1"/>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57" fillId="0" borderId="30" xfId="0" applyFont="1" applyBorder="1" applyAlignment="1">
      <alignment horizontal="righ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57" fillId="0" borderId="30" xfId="0" applyFont="1" applyBorder="1" applyAlignment="1">
      <alignmen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vertical="center"/>
    </xf>
    <xf numFmtId="0" fontId="38" fillId="0" borderId="16" xfId="0" applyFont="1" applyBorder="1" applyAlignment="1">
      <alignment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164" fontId="36" fillId="3" borderId="1" xfId="0" applyNumberFormat="1" applyFont="1" applyFill="1" applyBorder="1" applyAlignment="1">
      <alignment horizontal="center" vertical="center"/>
    </xf>
    <xf numFmtId="0" fontId="38" fillId="0" borderId="3" xfId="0" applyFont="1" applyBorder="1" applyAlignment="1">
      <alignment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87" fillId="7" borderId="17" xfId="0" applyFont="1" applyFill="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0" fontId="38" fillId="0" borderId="2"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59" fillId="16" borderId="30" xfId="0" applyNumberFormat="1" applyFont="1" applyFill="1" applyBorder="1" applyAlignment="1">
      <alignment horizontal="center" vertical="center" wrapText="1"/>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1" fillId="0" borderId="30" xfId="0" applyFont="1" applyBorder="1" applyAlignment="1">
      <alignment vertical="center"/>
    </xf>
    <xf numFmtId="4" fontId="45" fillId="0" borderId="29" xfId="0" applyNumberFormat="1"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6" fillId="16" borderId="30" xfId="0" applyFont="1" applyFill="1" applyBorder="1" applyAlignment="1">
      <alignment horizontal="center" vertical="center" wrapText="1"/>
    </xf>
    <xf numFmtId="0" fontId="98" fillId="16" borderId="30" xfId="0" applyFont="1" applyFill="1" applyBorder="1" applyAlignment="1">
      <alignment horizontal="center"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59" fillId="29" borderId="30" xfId="0" applyFont="1" applyFill="1" applyBorder="1" applyAlignment="1">
      <alignment horizontal="center" vertical="center" wrapText="1"/>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0" fontId="218" fillId="29" borderId="30" xfId="0" applyFont="1" applyFill="1" applyBorder="1" applyAlignment="1">
      <alignment horizontal="center" vertical="center" wrapText="1"/>
    </xf>
    <xf numFmtId="0" fontId="219" fillId="16" borderId="30" xfId="0" applyFont="1" applyFill="1" applyBorder="1" applyAlignment="1">
      <alignment vertical="center"/>
    </xf>
    <xf numFmtId="0" fontId="219" fillId="16" borderId="31" xfId="0" applyFont="1" applyFill="1" applyBorder="1" applyAlignment="1">
      <alignment vertical="center"/>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3" fontId="41" fillId="0" borderId="30" xfId="0" applyNumberFormat="1" applyFont="1" applyBorder="1" applyAlignment="1">
      <alignment horizontal="center" vertical="center"/>
    </xf>
    <xf numFmtId="0" fontId="219" fillId="16" borderId="30" xfId="0" applyFont="1" applyFill="1" applyBorder="1" applyAlignment="1">
      <alignment horizontal="center" vertical="center"/>
    </xf>
    <xf numFmtId="0" fontId="219" fillId="16" borderId="39" xfId="0" applyFont="1" applyFill="1" applyBorder="1" applyAlignment="1">
      <alignment horizontal="center" vertical="center"/>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0" fontId="218" fillId="29" borderId="29" xfId="0" applyFont="1" applyFill="1" applyBorder="1" applyAlignment="1">
      <alignment horizontal="center" vertical="center" wrapText="1"/>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3" t="s">
        <v>424</v>
      </c>
      <c r="D2" s="1844"/>
      <c r="E2" s="1844"/>
      <c r="F2" s="1844"/>
      <c r="G2" s="1844"/>
      <c r="H2" s="380"/>
      <c r="I2" s="1847" t="s">
        <v>868</v>
      </c>
      <c r="J2" s="1848"/>
      <c r="K2" s="1848"/>
    </row>
    <row r="3" spans="2:18" ht="10.5" customHeight="1" x14ac:dyDescent="0.25">
      <c r="B3" s="379"/>
      <c r="C3" s="378"/>
      <c r="D3" s="378"/>
      <c r="E3" s="378"/>
      <c r="F3" s="378"/>
      <c r="G3" s="378"/>
      <c r="H3" s="379"/>
      <c r="I3" s="379"/>
      <c r="J3" s="379"/>
      <c r="K3" s="379"/>
    </row>
    <row r="4" spans="2:18" ht="37.9" customHeight="1" x14ac:dyDescent="0.25">
      <c r="B4" s="381"/>
      <c r="C4" s="1845" t="s">
        <v>715</v>
      </c>
      <c r="D4" s="1846"/>
      <c r="E4" s="1846"/>
      <c r="F4" s="1846"/>
      <c r="G4" s="1846"/>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0" t="s">
        <v>448</v>
      </c>
      <c r="K6" s="1842"/>
      <c r="L6" s="1842"/>
      <c r="M6" s="1842"/>
      <c r="N6" s="1842"/>
      <c r="O6" s="1842"/>
      <c r="P6" s="1842"/>
      <c r="Q6" s="1842"/>
      <c r="R6" s="1842"/>
    </row>
    <row r="7" spans="2:18" ht="18" customHeight="1" x14ac:dyDescent="0.25">
      <c r="B7" s="69"/>
      <c r="I7" s="382"/>
      <c r="J7" s="1842"/>
      <c r="K7" s="1842"/>
      <c r="L7" s="1842"/>
      <c r="M7" s="1842"/>
      <c r="N7" s="1842"/>
      <c r="O7" s="1842"/>
      <c r="P7" s="1842"/>
      <c r="Q7" s="1842"/>
      <c r="R7" s="1842"/>
    </row>
    <row r="8" spans="2:18" ht="18" customHeight="1" x14ac:dyDescent="0.25">
      <c r="B8" s="69"/>
      <c r="I8" s="382"/>
      <c r="J8" s="70"/>
      <c r="K8" s="70"/>
      <c r="L8" s="70"/>
      <c r="M8" s="70"/>
      <c r="N8" s="70"/>
      <c r="O8" s="70"/>
      <c r="P8" s="70"/>
      <c r="Q8" s="70"/>
      <c r="R8" s="70"/>
    </row>
    <row r="9" spans="2:18" ht="22.9" customHeight="1" x14ac:dyDescent="0.25">
      <c r="B9" s="69"/>
      <c r="I9" s="103" t="s">
        <v>717</v>
      </c>
      <c r="J9" s="1840" t="s">
        <v>720</v>
      </c>
      <c r="K9" s="1842"/>
      <c r="L9" s="1842"/>
      <c r="M9" s="1842"/>
      <c r="N9" s="1842"/>
      <c r="O9" s="1842"/>
      <c r="P9" s="1842"/>
      <c r="Q9" s="1842"/>
      <c r="R9" s="1842"/>
    </row>
    <row r="10" spans="2:18" ht="22.9" customHeight="1" x14ac:dyDescent="0.25">
      <c r="B10" s="69"/>
      <c r="I10" s="382"/>
      <c r="J10" s="1842"/>
      <c r="K10" s="1842"/>
      <c r="L10" s="1842"/>
      <c r="M10" s="1842"/>
      <c r="N10" s="1842"/>
      <c r="O10" s="1842"/>
      <c r="P10" s="1842"/>
      <c r="Q10" s="1842"/>
      <c r="R10" s="1842"/>
    </row>
    <row r="11" spans="2:18" ht="22.9" customHeight="1" x14ac:dyDescent="0.25">
      <c r="I11" s="382"/>
      <c r="J11" s="1842"/>
      <c r="K11" s="1842"/>
      <c r="L11" s="1842"/>
      <c r="M11" s="1842"/>
      <c r="N11" s="1842"/>
      <c r="O11" s="1842"/>
      <c r="P11" s="1842"/>
      <c r="Q11" s="1842"/>
      <c r="R11" s="1842"/>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1" t="s">
        <v>721</v>
      </c>
      <c r="K13" s="1841"/>
      <c r="L13" s="1841"/>
      <c r="M13" s="1841"/>
      <c r="N13" s="1841"/>
      <c r="O13" s="1841"/>
      <c r="P13" s="1841"/>
      <c r="Q13" s="1841"/>
      <c r="R13" s="1841"/>
    </row>
    <row r="14" spans="2:18" ht="18" customHeight="1" x14ac:dyDescent="0.25">
      <c r="B14" s="69"/>
      <c r="C14" s="74"/>
      <c r="I14" s="382"/>
      <c r="J14" s="1841"/>
      <c r="K14" s="1841"/>
      <c r="L14" s="1841"/>
      <c r="M14" s="1841"/>
      <c r="N14" s="1841"/>
      <c r="O14" s="1841"/>
      <c r="P14" s="1841"/>
      <c r="Q14" s="1841"/>
      <c r="R14" s="1841"/>
    </row>
    <row r="15" spans="2:18" ht="18" customHeight="1" x14ac:dyDescent="0.25">
      <c r="B15" s="69"/>
      <c r="C15" s="74"/>
      <c r="I15" s="382"/>
      <c r="J15" s="1841"/>
      <c r="K15" s="1841"/>
      <c r="L15" s="1841"/>
      <c r="M15" s="1841"/>
      <c r="N15" s="1841"/>
      <c r="O15" s="1841"/>
      <c r="P15" s="1841"/>
      <c r="Q15" s="1841"/>
      <c r="R15" s="1841"/>
    </row>
    <row r="16" spans="2:18" ht="18" customHeight="1" x14ac:dyDescent="0.25">
      <c r="B16" s="69"/>
      <c r="C16" s="74"/>
      <c r="I16" s="382"/>
      <c r="J16" s="1841"/>
      <c r="K16" s="1841"/>
      <c r="L16" s="1841"/>
      <c r="M16" s="1841"/>
      <c r="N16" s="1841"/>
      <c r="O16" s="1841"/>
      <c r="P16" s="1841"/>
      <c r="Q16" s="1841"/>
      <c r="R16" s="1841"/>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0" t="s">
        <v>449</v>
      </c>
      <c r="K18" s="1840"/>
      <c r="L18" s="1840"/>
      <c r="M18" s="1840"/>
      <c r="N18" s="1840"/>
      <c r="O18" s="1840"/>
      <c r="P18" s="1840"/>
      <c r="Q18" s="1840"/>
      <c r="R18" s="1840"/>
    </row>
    <row r="19" spans="1:18" ht="18" customHeight="1" x14ac:dyDescent="0.25">
      <c r="B19" s="69"/>
      <c r="D19" s="74"/>
      <c r="E19" s="74"/>
      <c r="F19" s="74"/>
      <c r="G19" s="74"/>
      <c r="H19" s="74"/>
      <c r="I19" s="74"/>
      <c r="J19" s="1840"/>
      <c r="K19" s="1840"/>
      <c r="L19" s="1840"/>
      <c r="M19" s="1840"/>
      <c r="N19" s="1840"/>
      <c r="O19" s="1840"/>
      <c r="P19" s="1840"/>
      <c r="Q19" s="1840"/>
      <c r="R19" s="1840"/>
    </row>
    <row r="20" spans="1:18" ht="18" customHeight="1" x14ac:dyDescent="0.25">
      <c r="B20" s="69"/>
      <c r="C20" s="74"/>
      <c r="D20" s="74"/>
      <c r="E20" s="74"/>
      <c r="F20" s="74"/>
      <c r="G20" s="74"/>
      <c r="H20" s="74"/>
      <c r="I20" s="74"/>
      <c r="J20" s="1840"/>
      <c r="K20" s="1840"/>
      <c r="L20" s="1840"/>
      <c r="M20" s="1840"/>
      <c r="N20" s="1840"/>
      <c r="O20" s="1840"/>
      <c r="P20" s="1840"/>
      <c r="Q20" s="1840"/>
      <c r="R20" s="1840"/>
    </row>
    <row r="21" spans="1:18" ht="40.15" customHeight="1" x14ac:dyDescent="0.25">
      <c r="A21" s="459"/>
      <c r="B21" s="383"/>
      <c r="C21" s="384"/>
      <c r="D21" s="384"/>
      <c r="E21" s="384"/>
      <c r="F21" s="384"/>
      <c r="G21" s="387"/>
      <c r="I21" s="74"/>
      <c r="J21" s="1840"/>
      <c r="K21" s="1840"/>
      <c r="L21" s="1840"/>
      <c r="M21" s="1840"/>
      <c r="N21" s="1840"/>
      <c r="O21" s="1840"/>
      <c r="P21" s="1840"/>
      <c r="Q21" s="1840"/>
      <c r="R21" s="1840"/>
    </row>
    <row r="22" spans="1:18" ht="34.9" customHeight="1" x14ac:dyDescent="0.25">
      <c r="B22" s="71"/>
      <c r="C22" s="71"/>
      <c r="D22" s="71"/>
      <c r="E22" s="71"/>
      <c r="F22" s="71"/>
      <c r="G22" s="71"/>
      <c r="H22" s="71"/>
      <c r="I22" s="71"/>
      <c r="J22" s="1840"/>
      <c r="K22" s="1840"/>
      <c r="L22" s="1840"/>
      <c r="M22" s="1840"/>
      <c r="N22" s="1840"/>
      <c r="O22" s="1840"/>
      <c r="P22" s="1840"/>
      <c r="Q22" s="1840"/>
      <c r="R22" s="1840"/>
    </row>
    <row r="23" spans="1:18" ht="18" customHeight="1" x14ac:dyDescent="0.25">
      <c r="B23" s="71"/>
      <c r="C23" s="193" t="s">
        <v>450</v>
      </c>
      <c r="D23" s="460" t="s">
        <v>423</v>
      </c>
      <c r="E23" s="72"/>
      <c r="F23" s="71"/>
      <c r="G23" s="71"/>
      <c r="H23" s="71"/>
      <c r="J23" s="1840"/>
      <c r="K23" s="1840"/>
      <c r="L23" s="1840"/>
      <c r="M23" s="1840"/>
      <c r="N23" s="1840"/>
      <c r="O23" s="1840"/>
      <c r="P23" s="1840"/>
      <c r="Q23" s="1840"/>
      <c r="R23" s="1840"/>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69" t="s">
        <v>906</v>
      </c>
      <c r="E2" s="1870"/>
      <c r="F2" s="1871"/>
      <c r="G2" s="399"/>
      <c r="H2" s="1872" t="s">
        <v>5</v>
      </c>
      <c r="I2" s="1873"/>
      <c r="J2" s="1874"/>
      <c r="K2" s="399"/>
      <c r="L2" s="399"/>
      <c r="M2" s="399"/>
      <c r="N2" s="399"/>
      <c r="O2" s="800"/>
      <c r="P2" s="800" t="s">
        <v>6</v>
      </c>
      <c r="Q2" s="800"/>
      <c r="R2" s="800"/>
      <c r="S2" s="800"/>
      <c r="T2" s="800"/>
      <c r="U2" s="800"/>
      <c r="V2" s="2"/>
      <c r="W2" s="2"/>
      <c r="X2" s="2"/>
      <c r="Y2" s="2"/>
    </row>
    <row r="3" spans="1:25" ht="18" customHeight="1" x14ac:dyDescent="0.25">
      <c r="B3" s="399"/>
      <c r="C3" s="467" t="s">
        <v>437</v>
      </c>
      <c r="D3" s="1869" t="s">
        <v>907</v>
      </c>
      <c r="E3" s="1870"/>
      <c r="F3" s="1871"/>
      <c r="G3" s="399"/>
      <c r="H3" s="1875"/>
      <c r="I3" s="1876"/>
      <c r="J3" s="1877"/>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58" t="s">
        <v>424</v>
      </c>
      <c r="M4" s="1859"/>
      <c r="N4" s="1859"/>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0" t="str">
        <f>Apresentação!I2</f>
        <v>RC-RSU V.1.0 - 15/10/2020</v>
      </c>
      <c r="M5" s="1860"/>
      <c r="N5" s="1860"/>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65" t="s">
        <v>839</v>
      </c>
      <c r="D16" s="1866"/>
      <c r="E16" s="1866"/>
      <c r="F16" s="1866"/>
      <c r="G16" s="1866"/>
      <c r="H16" s="1866"/>
      <c r="I16" s="1866"/>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78" t="s">
        <v>16</v>
      </c>
      <c r="D23" s="1880" t="s">
        <v>684</v>
      </c>
      <c r="E23" s="1854"/>
      <c r="F23" s="1854"/>
      <c r="G23" s="1853" t="s">
        <v>740</v>
      </c>
      <c r="H23" s="1853" t="s">
        <v>17</v>
      </c>
      <c r="I23" s="1854"/>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54"/>
      <c r="D24" s="1879" t="s">
        <v>18</v>
      </c>
      <c r="E24" s="1879" t="s">
        <v>19</v>
      </c>
      <c r="F24" s="1879" t="s">
        <v>20</v>
      </c>
      <c r="G24" s="1854"/>
      <c r="H24" s="1854"/>
      <c r="I24" s="1854"/>
      <c r="J24" s="465"/>
      <c r="K24" s="482"/>
      <c r="L24" s="465"/>
      <c r="M24" s="465"/>
      <c r="N24" s="399"/>
      <c r="O24" s="800"/>
      <c r="P24" s="800"/>
      <c r="Q24" s="800"/>
      <c r="R24" s="800"/>
      <c r="S24" s="800"/>
      <c r="T24" s="800"/>
      <c r="U24" s="800"/>
      <c r="V24" s="2"/>
      <c r="W24" s="6"/>
      <c r="X24" s="6"/>
      <c r="Y24" s="6"/>
    </row>
    <row r="25" spans="1:25" ht="30.4" customHeight="1" x14ac:dyDescent="0.25">
      <c r="B25" s="399"/>
      <c r="C25" s="1854"/>
      <c r="D25" s="1854"/>
      <c r="E25" s="1854"/>
      <c r="F25" s="1854"/>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1861">
        <f>E26+E27</f>
        <v>51.4</v>
      </c>
      <c r="I26" s="1863"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1862"/>
      <c r="I27" s="1864"/>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1861">
        <f>SUM(E28:E33)</f>
        <v>31.900000000000002</v>
      </c>
      <c r="I28" s="1863"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1862"/>
      <c r="I29" s="1864"/>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1862"/>
      <c r="I30" s="1864"/>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1862"/>
      <c r="I31" s="1864"/>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1862"/>
      <c r="I32" s="1864"/>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1862"/>
      <c r="I33" s="1864"/>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1861">
        <f>SUM(E34:E37)</f>
        <v>10.14</v>
      </c>
      <c r="I34" s="1868"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1862"/>
      <c r="I35" s="1864"/>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1862"/>
      <c r="I36" s="1864"/>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1862"/>
      <c r="I37" s="1864"/>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61">
        <f>SUM(E38:E39)</f>
        <v>6.5600000000000023</v>
      </c>
      <c r="I38" s="1868"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1862"/>
      <c r="I39" s="1864"/>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55" t="s">
        <v>48</v>
      </c>
      <c r="D51" s="1851" t="s">
        <v>459</v>
      </c>
      <c r="E51" s="1852"/>
      <c r="F51" s="1852"/>
      <c r="G51" s="1852"/>
      <c r="H51" s="1852"/>
      <c r="I51" s="1852"/>
      <c r="J51" s="1852"/>
      <c r="K51" s="1852"/>
      <c r="L51" s="1852"/>
      <c r="M51" s="1852"/>
      <c r="N51" s="1852"/>
      <c r="O51" s="800"/>
      <c r="P51" s="800"/>
      <c r="Q51" s="800"/>
      <c r="R51" s="800"/>
      <c r="S51" s="800"/>
      <c r="T51" s="800"/>
      <c r="U51" s="800"/>
      <c r="V51" s="2"/>
      <c r="W51" s="2"/>
      <c r="X51" s="2"/>
      <c r="Y51" s="2"/>
    </row>
    <row r="52" spans="1:25" ht="18" customHeight="1" x14ac:dyDescent="0.25">
      <c r="B52" s="399"/>
      <c r="C52" s="1856"/>
      <c r="D52" s="1849" t="s">
        <v>25</v>
      </c>
      <c r="E52" s="1856"/>
      <c r="F52" s="1857" t="s">
        <v>49</v>
      </c>
      <c r="G52" s="1849" t="s">
        <v>426</v>
      </c>
      <c r="H52" s="1856"/>
      <c r="I52" s="1849" t="s">
        <v>427</v>
      </c>
      <c r="J52" s="1849" t="s">
        <v>51</v>
      </c>
      <c r="K52" s="1856"/>
      <c r="L52" s="1849" t="s">
        <v>428</v>
      </c>
      <c r="M52" s="1850"/>
      <c r="N52" s="1867" t="s">
        <v>52</v>
      </c>
      <c r="O52" s="800"/>
      <c r="P52" s="800"/>
      <c r="Q52" s="800"/>
      <c r="R52" s="800"/>
      <c r="S52" s="800"/>
      <c r="T52" s="800"/>
      <c r="U52" s="800"/>
      <c r="V52" s="2"/>
      <c r="W52" s="2"/>
      <c r="X52" s="2"/>
      <c r="Y52" s="2"/>
    </row>
    <row r="53" spans="1:25" ht="31.15" customHeight="1" x14ac:dyDescent="0.25">
      <c r="B53" s="399"/>
      <c r="C53" s="1856"/>
      <c r="D53" s="441" t="s">
        <v>53</v>
      </c>
      <c r="E53" s="441" t="s">
        <v>54</v>
      </c>
      <c r="F53" s="1856"/>
      <c r="G53" s="441" t="s">
        <v>55</v>
      </c>
      <c r="H53" s="441" t="s">
        <v>56</v>
      </c>
      <c r="I53" s="1856"/>
      <c r="J53" s="441" t="s">
        <v>57</v>
      </c>
      <c r="K53" s="441" t="s">
        <v>461</v>
      </c>
      <c r="L53" s="441" t="s">
        <v>429</v>
      </c>
      <c r="M53" s="442" t="s">
        <v>460</v>
      </c>
      <c r="N53" s="1856"/>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92" t="str">
        <f>IF('R-Entrada'!D2&lt;&gt;0,'R-Entrada'!D2,"")</f>
        <v>CIRSOP - Consórcio RSU Oeste Paulista</v>
      </c>
      <c r="E2" s="1893"/>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92" t="str">
        <f>IF('R-Entrada'!D3&lt;&gt;0,'R-Entrada'!D3,"")</f>
        <v>Biodigestão c/ Prod. E. Elétrica</v>
      </c>
      <c r="E3" s="1893"/>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72" t="s">
        <v>685</v>
      </c>
      <c r="G5" s="1881"/>
      <c r="H5" s="1882"/>
      <c r="I5" s="399"/>
      <c r="J5" s="122"/>
      <c r="K5" s="518" t="s">
        <v>674</v>
      </c>
      <c r="L5" s="399"/>
      <c r="M5" s="399"/>
      <c r="N5" s="1858" t="s">
        <v>424</v>
      </c>
      <c r="O5" s="1890"/>
      <c r="P5" s="1890"/>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883"/>
      <c r="G6" s="1884"/>
      <c r="H6" s="1885"/>
      <c r="I6" s="468"/>
      <c r="J6" s="629"/>
      <c r="K6" s="518" t="s">
        <v>675</v>
      </c>
      <c r="L6" s="399"/>
      <c r="M6" s="399"/>
      <c r="N6" s="1860" t="str">
        <f>Apresentação!I2</f>
        <v>RC-RSU V.1.0 - 15/10/2020</v>
      </c>
      <c r="O6" s="1860"/>
      <c r="P6" s="1860"/>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891" t="s">
        <v>462</v>
      </c>
      <c r="C8" s="1891"/>
      <c r="D8" s="1891"/>
      <c r="E8" s="1891"/>
      <c r="F8" s="1891"/>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53" t="s">
        <v>48</v>
      </c>
      <c r="D10" s="1880" t="s">
        <v>459</v>
      </c>
      <c r="E10" s="1854"/>
      <c r="F10" s="1854"/>
      <c r="G10" s="1854"/>
      <c r="H10" s="1854"/>
      <c r="I10" s="1854"/>
      <c r="J10" s="1854"/>
      <c r="K10" s="1854"/>
      <c r="L10" s="1854"/>
      <c r="M10" s="1854"/>
      <c r="N10" s="1854"/>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54"/>
      <c r="D11" s="1880" t="s">
        <v>25</v>
      </c>
      <c r="E11" s="1854"/>
      <c r="F11" s="1853" t="s">
        <v>49</v>
      </c>
      <c r="G11" s="1880" t="s">
        <v>426</v>
      </c>
      <c r="H11" s="1854"/>
      <c r="I11" s="1880" t="s">
        <v>427</v>
      </c>
      <c r="J11" s="1880" t="s">
        <v>51</v>
      </c>
      <c r="K11" s="1854"/>
      <c r="L11" s="1880" t="s">
        <v>428</v>
      </c>
      <c r="M11" s="1854"/>
      <c r="N11" s="1908"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54"/>
      <c r="D12" s="444" t="s">
        <v>53</v>
      </c>
      <c r="E12" s="444" t="s">
        <v>54</v>
      </c>
      <c r="F12" s="1854"/>
      <c r="G12" s="444" t="s">
        <v>55</v>
      </c>
      <c r="H12" s="444" t="s">
        <v>56</v>
      </c>
      <c r="I12" s="1854"/>
      <c r="J12" s="444" t="s">
        <v>57</v>
      </c>
      <c r="K12" s="444" t="s">
        <v>461</v>
      </c>
      <c r="L12" s="444" t="s">
        <v>429</v>
      </c>
      <c r="M12" s="440" t="s">
        <v>460</v>
      </c>
      <c r="N12" s="1854"/>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15.325320512820513</v>
      </c>
      <c r="M24" s="106">
        <f>IF($E$28="Sim",F$13*'R-Avançado'!$H$11/100*$E$29/$N$13,0)</f>
        <v>0</v>
      </c>
      <c r="N24" s="106">
        <f>IF($E$32="Sim",F$13*'R-Avançado'!$G$11/100*$E$33/$N$13,0)</f>
        <v>0</v>
      </c>
      <c r="O24" s="562">
        <f>IF(AND($I$25&gt;0,$I$24="Sim"),$I$27/$N$15*F$15*'R-Avançado'!$F$11/100,0)</f>
        <v>15.325320512820513</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10.411858974358974</v>
      </c>
      <c r="M25" s="106">
        <f>IF($E$28="Sim",G$13*'R-Avançado'!$H$11/100*$E$29/$N$13,0)</f>
        <v>0</v>
      </c>
      <c r="N25" s="106">
        <f>IF($E$32="Sim",G$13*'R-Avançado'!$G$11/100*$E$33/$N$13,0)</f>
        <v>0</v>
      </c>
      <c r="O25" s="562">
        <f>IF(AND($I$25&gt;0,$I$24="Sim"),$I$27/$N$15*G$15*'R-Avançado'!$F$11/100,0)</f>
        <v>10.411858974358974</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1887" t="str">
        <f>IF(AND(I24="Sim",I27&lt;&gt;0,I27&lt;50),"Mín. é 50 t/d. Rever Célula I26","")</f>
        <v/>
      </c>
      <c r="K26" s="559" t="s">
        <v>77</v>
      </c>
      <c r="L26" s="105">
        <f t="shared" si="1"/>
        <v>5.3814102564102564</v>
      </c>
      <c r="M26" s="106">
        <f>IF($E$28="Sim",H$13*'R-Avançado'!$H$11/100*$E$29/$N$13,0)</f>
        <v>0</v>
      </c>
      <c r="N26" s="106">
        <f>IF($E$32="Sim",H$13*'R-Avançado'!$G$11/100*$E$33/$N$13,0)</f>
        <v>0</v>
      </c>
      <c r="O26" s="562">
        <f>IF(AND($I$25&gt;0,$I$24="Sim"),$I$27/$N$15*H$15*'R-Avançado'!$F$11/100,0)</f>
        <v>5.3814102564102564</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1888"/>
      <c r="K27" s="559" t="s">
        <v>31</v>
      </c>
      <c r="L27" s="105">
        <f t="shared" si="1"/>
        <v>2.8076923076923079</v>
      </c>
      <c r="M27" s="106">
        <f>IF($E$28="Sim",I$13*'R-Avançado'!$H$11/100*$E$29/$N$13,0)</f>
        <v>0</v>
      </c>
      <c r="N27" s="106">
        <f>IF($E$32="Sim",I$13*'R-Avançado'!$G$11/100*$E$33/$N$13,0)</f>
        <v>0</v>
      </c>
      <c r="O27" s="562">
        <f>IF(AND($I$25&gt;0,$I$24="Sim"),$I$27/$N$15*I$15*'R-Avançado'!$F$11/100,0)</f>
        <v>2.8076923076923079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887" t="str">
        <f>IF(E29&gt;100,"Máx. é 100 t/d. Rever Célula E25","")</f>
        <v/>
      </c>
      <c r="G28" s="572"/>
      <c r="H28" s="528" t="s">
        <v>80</v>
      </c>
      <c r="I28" s="776" t="s">
        <v>61</v>
      </c>
      <c r="J28" s="466"/>
      <c r="K28" s="559" t="s">
        <v>32</v>
      </c>
      <c r="L28" s="105">
        <f t="shared" si="1"/>
        <v>2.6907051282051282</v>
      </c>
      <c r="M28" s="106">
        <f>IF($E$28="Sim",J$13*'R-Avançado'!$H$11/100*$E$29/$N$13,0)</f>
        <v>0</v>
      </c>
      <c r="N28" s="106">
        <f>IF($E$32="Sim",J$13*'R-Avançado'!$G$11/100*$E$33/$N$13,0)</f>
        <v>0</v>
      </c>
      <c r="O28" s="562">
        <f>IF(AND($I$25&gt;0,$I$24="Sim"),$I$27/$N$15*J$15*'R-Avançado'!$F$11/100,0)</f>
        <v>2.6907051282051282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888"/>
      <c r="G29" s="572"/>
      <c r="H29" s="528" t="s">
        <v>82</v>
      </c>
      <c r="I29" s="776" t="s">
        <v>60</v>
      </c>
      <c r="J29" s="466"/>
      <c r="K29" s="559" t="s">
        <v>83</v>
      </c>
      <c r="L29" s="105">
        <f t="shared" si="1"/>
        <v>0.70192307692307698</v>
      </c>
      <c r="M29" s="106">
        <f>IF($E$28="Sim",K$13*'R-Avançado'!$H$11/100*$E$29/$N$13,0)</f>
        <v>0</v>
      </c>
      <c r="N29" s="106">
        <f>IF($E$32="Sim",K$13*'R-Avançado'!$G$11/100*$E$33/$N$13,0)</f>
        <v>0</v>
      </c>
      <c r="O29" s="562">
        <f>IF(AND($I$25&gt;0,$I$24="Sim"),$I$27/$N$15*K$15*'R-Avançado'!$F$11/100,0)</f>
        <v>0.70192307692307698</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888"/>
      <c r="G30" s="399"/>
      <c r="H30" s="399"/>
      <c r="I30" s="399"/>
      <c r="J30" s="536"/>
      <c r="K30" s="560" t="s">
        <v>464</v>
      </c>
      <c r="L30" s="107">
        <f>SUM(L24:L29)</f>
        <v>37.318910256410263</v>
      </c>
      <c r="M30" s="185">
        <f>SUM(M24:M29)</f>
        <v>0</v>
      </c>
      <c r="N30" s="185">
        <f>SUM(N24:N29)</f>
        <v>0</v>
      </c>
      <c r="O30" s="563">
        <f>SUM(O24:O29)</f>
        <v>37.318910256410263</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96" t="s">
        <v>84</v>
      </c>
      <c r="H31" s="1897"/>
      <c r="I31" s="1898"/>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887"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888"/>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888"/>
      <c r="G34" s="573"/>
      <c r="H34" s="528" t="s">
        <v>866</v>
      </c>
      <c r="I34" s="775" t="s">
        <v>88</v>
      </c>
      <c r="J34" s="399"/>
      <c r="K34" s="574" t="s">
        <v>728</v>
      </c>
      <c r="L34" s="90">
        <f>SUM(M34:O34)</f>
        <v>176.88461538461536</v>
      </c>
      <c r="M34" s="90">
        <f>IF(E28="Sim",E29*(1-'R-Avançado'!H11/100)*0.9,0)</f>
        <v>0</v>
      </c>
      <c r="N34" s="803">
        <f>IF(E32="Sim",E33*(1-'R-Avançado'!G11/100)*0.9,0)</f>
        <v>0</v>
      </c>
      <c r="O34" s="90">
        <f>D43+E43+F43+G43+H43+L43</f>
        <v>176.88461538461536</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49.298397435897456</v>
      </c>
      <c r="M35" s="90">
        <f>IF(E28="Sim",E29*(1-'R-Avançado'!H11/100)*0.1,0)</f>
        <v>0</v>
      </c>
      <c r="N35" s="90">
        <f>IF(E32="Sim",E33*(1-'R-Avançado'!G11/100)*0.1,0)</f>
        <v>0</v>
      </c>
      <c r="O35" s="90">
        <f>M43+K43+J43+I43</f>
        <v>49.298397435897456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49" t="s">
        <v>465</v>
      </c>
      <c r="E38" s="1856"/>
      <c r="F38" s="1856"/>
      <c r="G38" s="1856"/>
      <c r="H38" s="1856"/>
      <c r="I38" s="1856"/>
      <c r="J38" s="1856"/>
      <c r="K38" s="1856"/>
      <c r="L38" s="1856"/>
      <c r="M38" s="1856"/>
      <c r="N38" s="1856"/>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49" t="s">
        <v>25</v>
      </c>
      <c r="E39" s="1886"/>
      <c r="F39" s="1857" t="s">
        <v>49</v>
      </c>
      <c r="G39" s="1849" t="s">
        <v>426</v>
      </c>
      <c r="H39" s="1886"/>
      <c r="I39" s="1849" t="s">
        <v>50</v>
      </c>
      <c r="J39" s="1849" t="s">
        <v>51</v>
      </c>
      <c r="K39" s="1886"/>
      <c r="L39" s="1849" t="s">
        <v>428</v>
      </c>
      <c r="M39" s="1886"/>
      <c r="N39" s="1867"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889"/>
      <c r="G40" s="441" t="s">
        <v>55</v>
      </c>
      <c r="H40" s="441" t="s">
        <v>56</v>
      </c>
      <c r="I40" s="1886"/>
      <c r="J40" s="441" t="s">
        <v>57</v>
      </c>
      <c r="K40" s="441" t="s">
        <v>461</v>
      </c>
      <c r="L40" s="441" t="s">
        <v>429</v>
      </c>
      <c r="M40" s="442" t="s">
        <v>460</v>
      </c>
      <c r="N40" s="1886"/>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15.325320512820513</v>
      </c>
      <c r="G42" s="112">
        <f>O25</f>
        <v>10.411858974358974</v>
      </c>
      <c r="H42" s="112">
        <f>O26</f>
        <v>5.3814102564102564</v>
      </c>
      <c r="I42" s="112">
        <f>O27</f>
        <v>2.8076923076923079</v>
      </c>
      <c r="J42" s="112">
        <f>O28</f>
        <v>2.6907051282051282</v>
      </c>
      <c r="K42" s="112">
        <f>O29</f>
        <v>0.70192307692307698</v>
      </c>
      <c r="L42" s="112">
        <v>0</v>
      </c>
      <c r="M42" s="112">
        <v>0</v>
      </c>
      <c r="N42" s="90">
        <f>SUM(D42:M42)</f>
        <v>241.76570512820518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45.97596153846154</v>
      </c>
      <c r="G43" s="113">
        <f t="shared" si="3"/>
        <v>31.235576923076923</v>
      </c>
      <c r="H43" s="113">
        <f t="shared" si="3"/>
        <v>16.14423076923077</v>
      </c>
      <c r="I43" s="113">
        <f t="shared" si="3"/>
        <v>8.4230769230769234</v>
      </c>
      <c r="J43" s="113">
        <f t="shared" si="3"/>
        <v>8.072115384615385</v>
      </c>
      <c r="K43" s="113">
        <f t="shared" si="3"/>
        <v>2.1057692307692308</v>
      </c>
      <c r="L43" s="113">
        <f t="shared" si="3"/>
        <v>47.45</v>
      </c>
      <c r="M43" s="113">
        <f t="shared" si="3"/>
        <v>30.697435897435909</v>
      </c>
      <c r="N43" s="90">
        <f>SUM(D43:M43)</f>
        <v>226.18301282051283</v>
      </c>
      <c r="O43" s="483"/>
      <c r="P43" s="438"/>
      <c r="Q43" s="479"/>
      <c r="R43" s="479"/>
      <c r="S43" s="479" t="s">
        <v>61</v>
      </c>
      <c r="T43" s="479">
        <f>IF($I$28="CDR",O34,0)</f>
        <v>176.88461538461536</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176.88461538461536</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84.020192307692298</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176.88461538461536</v>
      </c>
      <c r="F51" s="399"/>
      <c r="G51" s="84"/>
      <c r="H51" s="109" t="s">
        <v>471</v>
      </c>
      <c r="I51" s="90">
        <f>IF(E52=0,I49,0)</f>
        <v>176.88461538461536</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88.442307692307679</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4.4221153846153838</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204.44679487179491</v>
      </c>
      <c r="F59" s="322">
        <f>IF(E59&gt;0,E59/E60,"")</f>
        <v>1</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204.44679487179491</v>
      </c>
      <c r="F60" s="324">
        <f>IF(E60&gt;0,E60/E60,"")</f>
        <v>1</v>
      </c>
      <c r="G60" s="398"/>
      <c r="H60" s="122"/>
      <c r="I60" s="109" t="s">
        <v>111</v>
      </c>
      <c r="J60" s="121">
        <v>100</v>
      </c>
      <c r="K60" s="400" t="str">
        <f>IF(J60&lt;&gt;0,"&gt;&gt;&gt;&gt;","")</f>
        <v>&gt;&gt;&gt;&gt;</v>
      </c>
      <c r="L60" s="582">
        <f>IF(J60&gt;0,J60/100*E60,"")</f>
        <v>204.44679487179491</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94" t="s">
        <v>112</v>
      </c>
      <c r="O61" s="1895"/>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204.44679487179491</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92.001057692307697</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903" t="s">
        <v>125</v>
      </c>
      <c r="J72" s="1904"/>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51.111698717948727</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61.334038461538469</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901" t="s">
        <v>484</v>
      </c>
      <c r="E77" s="1902"/>
      <c r="F77" s="1902"/>
      <c r="G77" s="1902"/>
      <c r="H77" s="1902"/>
      <c r="I77" s="1902"/>
      <c r="J77" s="1902"/>
      <c r="K77" s="1902"/>
      <c r="L77" s="1902"/>
      <c r="M77" s="1902"/>
      <c r="N77" s="1902"/>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901" t="s">
        <v>25</v>
      </c>
      <c r="E78" s="1902"/>
      <c r="F78" s="1906" t="s">
        <v>49</v>
      </c>
      <c r="G78" s="1901" t="s">
        <v>426</v>
      </c>
      <c r="H78" s="1902"/>
      <c r="I78" s="1901" t="s">
        <v>427</v>
      </c>
      <c r="J78" s="1901" t="s">
        <v>51</v>
      </c>
      <c r="K78" s="1902"/>
      <c r="L78" s="1901" t="s">
        <v>428</v>
      </c>
      <c r="M78" s="1902"/>
      <c r="N78" s="1905"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907"/>
      <c r="G79" s="445" t="s">
        <v>55</v>
      </c>
      <c r="H79" s="445" t="s">
        <v>56</v>
      </c>
      <c r="I79" s="1902"/>
      <c r="J79" s="445" t="s">
        <v>57</v>
      </c>
      <c r="K79" s="445" t="s">
        <v>461</v>
      </c>
      <c r="L79" s="445" t="s">
        <v>429</v>
      </c>
      <c r="M79" s="446" t="s">
        <v>460</v>
      </c>
      <c r="N79" s="1902"/>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45.97596153846154</v>
      </c>
      <c r="G80" s="125">
        <f t="shared" si="5"/>
        <v>31.235576923076923</v>
      </c>
      <c r="H80" s="125">
        <f t="shared" si="5"/>
        <v>16.14423076923077</v>
      </c>
      <c r="I80" s="125">
        <f t="shared" si="5"/>
        <v>8.4230769230769234</v>
      </c>
      <c r="J80" s="125">
        <f t="shared" si="5"/>
        <v>8.072115384615385</v>
      </c>
      <c r="K80" s="125">
        <f t="shared" si="5"/>
        <v>2.1057692307692308</v>
      </c>
      <c r="L80" s="125">
        <f t="shared" si="5"/>
        <v>47.45</v>
      </c>
      <c r="M80" s="125">
        <f t="shared" si="5"/>
        <v>30.697435897435909</v>
      </c>
      <c r="N80" s="599">
        <f>SUM(D80:M80)</f>
        <v>226.18301282051283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45.97596153846154</v>
      </c>
      <c r="G82" s="130">
        <f t="shared" si="7"/>
        <v>31.235576923076923</v>
      </c>
      <c r="H82" s="130">
        <f t="shared" si="7"/>
        <v>16.14423076923077</v>
      </c>
      <c r="I82" s="130">
        <f t="shared" si="7"/>
        <v>8.4230769230769234</v>
      </c>
      <c r="J82" s="130">
        <f t="shared" si="7"/>
        <v>8.072115384615385</v>
      </c>
      <c r="K82" s="130">
        <f t="shared" si="7"/>
        <v>2.1057692307692308</v>
      </c>
      <c r="L82" s="130">
        <f t="shared" si="7"/>
        <v>47.45</v>
      </c>
      <c r="M82" s="130">
        <f t="shared" si="7"/>
        <v>30.697435897435909</v>
      </c>
      <c r="N82" s="600">
        <f>SUM(D82:M82)</f>
        <v>226.18301282051283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45.97596153846154</v>
      </c>
      <c r="G86" s="186">
        <f t="shared" si="8"/>
        <v>31.235576923076923</v>
      </c>
      <c r="H86" s="186">
        <f t="shared" si="8"/>
        <v>16.14423076923077</v>
      </c>
      <c r="I86" s="186">
        <f t="shared" si="8"/>
        <v>0</v>
      </c>
      <c r="J86" s="186">
        <f t="shared" si="8"/>
        <v>0</v>
      </c>
      <c r="K86" s="186">
        <f t="shared" si="8"/>
        <v>0</v>
      </c>
      <c r="L86" s="186">
        <f t="shared" si="8"/>
        <v>47.45</v>
      </c>
      <c r="M86" s="186">
        <f t="shared" si="8"/>
        <v>0</v>
      </c>
      <c r="N86" s="186">
        <f>SUM(D86:M86)</f>
        <v>176.88461538461536</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45.97596153846154</v>
      </c>
      <c r="G87" s="132">
        <f>IF($E$51&gt;0,G43,0)</f>
        <v>31.235576923076923</v>
      </c>
      <c r="H87" s="132">
        <f>IF($E$51&gt;0,H43,0)</f>
        <v>16.14423076923077</v>
      </c>
      <c r="I87" s="123"/>
      <c r="J87" s="123"/>
      <c r="K87" s="123"/>
      <c r="L87" s="144">
        <f>IF($E$51&gt;0,L43,0)</f>
        <v>47.45</v>
      </c>
      <c r="M87" s="132"/>
      <c r="N87" s="607">
        <f>SUM(D87:M87)</f>
        <v>176.88461538461536</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8.4230769230769234</v>
      </c>
      <c r="J90" s="125">
        <f t="shared" si="9"/>
        <v>8.072115384615385</v>
      </c>
      <c r="K90" s="125">
        <f t="shared" si="9"/>
        <v>2.1057692307692308</v>
      </c>
      <c r="L90" s="125">
        <f t="shared" si="9"/>
        <v>0</v>
      </c>
      <c r="M90" s="125">
        <f t="shared" si="9"/>
        <v>30.697435897435909</v>
      </c>
      <c r="N90" s="599">
        <f>SUM(D90:M90)</f>
        <v>49.298397435897442</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8.4230769230769234</v>
      </c>
      <c r="J94" s="186">
        <f t="shared" si="11"/>
        <v>8.072115384615385</v>
      </c>
      <c r="K94" s="186">
        <f t="shared" si="11"/>
        <v>2.1057692307692308</v>
      </c>
      <c r="L94" s="186">
        <f t="shared" si="11"/>
        <v>0</v>
      </c>
      <c r="M94" s="186">
        <f>SUM(M95:M101)</f>
        <v>170.25144230769234</v>
      </c>
      <c r="N94" s="186">
        <f t="shared" ref="N94:N101" si="12">SUM(D94:M94)</f>
        <v>188.85240384615389</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8.4230769230769234</v>
      </c>
      <c r="J96" s="130">
        <f t="shared" si="14"/>
        <v>8.072115384615385</v>
      </c>
      <c r="K96" s="130">
        <f t="shared" si="14"/>
        <v>2.1057692307692308</v>
      </c>
      <c r="L96" s="130">
        <f>IF(OR($I$28="Incineração",I28="CDR"),0,L43)</f>
        <v>0</v>
      </c>
      <c r="M96" s="130">
        <f>IF($I$28="Incineração",0,M43)</f>
        <v>30.697435897435909</v>
      </c>
      <c r="N96" s="600">
        <f t="shared" si="12"/>
        <v>49.298397435897442</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139.55400641025642</v>
      </c>
      <c r="N100" s="600">
        <f t="shared" si="12"/>
        <v>139.55400641025642</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899"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1900"/>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1900"/>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1900"/>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900"/>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1900"/>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900"/>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188.85240384615389</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128.01322115384616</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30" t="str">
        <f>IF('R-Entrada'!D2&lt;&gt;0,'R-Entrada'!D2,"")</f>
        <v>CIRSOP - Consórcio RSU Oeste Paulista</v>
      </c>
      <c r="E2" s="1931"/>
      <c r="F2" s="433"/>
      <c r="G2" s="433"/>
      <c r="H2" s="433"/>
      <c r="I2" s="433"/>
      <c r="J2" s="433"/>
      <c r="K2" s="433"/>
      <c r="L2" s="433"/>
      <c r="M2" s="433"/>
      <c r="N2" s="433"/>
      <c r="O2" s="433"/>
      <c r="P2" s="433"/>
      <c r="Q2" s="433"/>
      <c r="R2" s="433"/>
      <c r="S2" s="433"/>
      <c r="T2" s="433"/>
      <c r="U2" s="433"/>
    </row>
    <row r="3" spans="1:21" ht="15" customHeight="1" x14ac:dyDescent="0.25">
      <c r="B3" s="433"/>
      <c r="C3" s="415" t="s">
        <v>437</v>
      </c>
      <c r="D3" s="1930" t="str">
        <f>IF('R-Entrada'!D3&lt;&gt;0,'R-Entrada'!D3,"")</f>
        <v>Biodigestão c/ Prod. E. Elétrica</v>
      </c>
      <c r="E3" s="1931"/>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32" t="s">
        <v>424</v>
      </c>
      <c r="O5" s="1933"/>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0" t="str">
        <f>Apresentação!I2</f>
        <v>RC-RSU V.1.0 - 15/10/2020</v>
      </c>
      <c r="O6" s="1933"/>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17" t="s">
        <v>864</v>
      </c>
      <c r="F8" s="1918"/>
      <c r="G8" s="1918"/>
      <c r="H8" s="1919"/>
      <c r="I8" s="433"/>
      <c r="J8" s="1923"/>
      <c r="K8" s="1924"/>
      <c r="L8" s="1920" t="s">
        <v>185</v>
      </c>
      <c r="M8" s="1920" t="s">
        <v>486</v>
      </c>
      <c r="N8" s="433"/>
      <c r="O8" s="433"/>
      <c r="P8" s="433"/>
      <c r="Q8" s="433"/>
      <c r="R8" s="433"/>
      <c r="S8" s="433"/>
      <c r="T8" s="433"/>
      <c r="U8" s="433"/>
    </row>
    <row r="9" spans="1:21" ht="18" customHeight="1" x14ac:dyDescent="0.25">
      <c r="A9" s="433"/>
      <c r="B9" s="433"/>
      <c r="C9" s="433"/>
      <c r="D9" s="1909"/>
      <c r="E9" s="675" t="s">
        <v>25</v>
      </c>
      <c r="F9" s="1917" t="s">
        <v>865</v>
      </c>
      <c r="G9" s="1918"/>
      <c r="H9" s="1919"/>
      <c r="I9" s="433"/>
      <c r="J9" s="1925"/>
      <c r="K9" s="1926"/>
      <c r="L9" s="1921"/>
      <c r="M9" s="1921"/>
      <c r="N9" s="433"/>
      <c r="O9" s="433"/>
      <c r="P9" s="433"/>
      <c r="Q9" s="433"/>
      <c r="R9" s="433"/>
      <c r="S9" s="433"/>
      <c r="T9" s="433"/>
      <c r="U9" s="433"/>
    </row>
    <row r="10" spans="1:21" ht="18" customHeight="1" x14ac:dyDescent="0.25">
      <c r="A10" s="433"/>
      <c r="B10" s="433"/>
      <c r="C10" s="433"/>
      <c r="D10" s="1910"/>
      <c r="E10" s="456" t="s">
        <v>679</v>
      </c>
      <c r="F10" s="456" t="s">
        <v>679</v>
      </c>
      <c r="G10" s="456" t="s">
        <v>680</v>
      </c>
      <c r="H10" s="456" t="s">
        <v>508</v>
      </c>
      <c r="I10" s="433"/>
      <c r="J10" s="1927"/>
      <c r="K10" s="1928"/>
      <c r="L10" s="1921"/>
      <c r="M10" s="1921"/>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2" t="s">
        <v>487</v>
      </c>
      <c r="K11" s="1922"/>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2" t="s">
        <v>488</v>
      </c>
      <c r="K12" s="1922"/>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11" t="s">
        <v>190</v>
      </c>
      <c r="E17" s="453" t="s">
        <v>191</v>
      </c>
      <c r="F17" s="453" t="s">
        <v>905</v>
      </c>
      <c r="G17" s="433"/>
      <c r="H17" s="1913"/>
      <c r="I17" s="1913" t="s">
        <v>192</v>
      </c>
      <c r="J17" s="1902"/>
      <c r="K17" s="433"/>
      <c r="L17" s="1912" t="s">
        <v>692</v>
      </c>
      <c r="M17" s="1886"/>
      <c r="N17" s="433"/>
      <c r="O17" s="433"/>
      <c r="P17" s="433"/>
      <c r="Q17" s="433"/>
      <c r="R17" s="433"/>
      <c r="S17" s="433"/>
      <c r="T17" s="433"/>
      <c r="U17" s="433"/>
    </row>
    <row r="18" spans="1:21" ht="18" customHeight="1" x14ac:dyDescent="0.25">
      <c r="A18" s="433"/>
      <c r="B18" s="433"/>
      <c r="C18" s="657"/>
      <c r="D18" s="1902"/>
      <c r="E18" s="453" t="s">
        <v>968</v>
      </c>
      <c r="F18" s="453" t="s">
        <v>904</v>
      </c>
      <c r="G18" s="433"/>
      <c r="H18" s="1902"/>
      <c r="I18" s="453" t="s">
        <v>188</v>
      </c>
      <c r="J18" s="646" t="s">
        <v>131</v>
      </c>
      <c r="K18" s="433"/>
      <c r="L18" s="1886"/>
      <c r="M18" s="1886"/>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14" t="s">
        <v>693</v>
      </c>
      <c r="E23" s="1915"/>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14" t="s">
        <v>489</v>
      </c>
      <c r="E24" s="1915"/>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38"/>
      <c r="D27" s="1939"/>
      <c r="E27" s="1939"/>
      <c r="F27" s="306" t="s">
        <v>194</v>
      </c>
      <c r="G27" s="433"/>
      <c r="H27" s="1916" t="s">
        <v>490</v>
      </c>
      <c r="I27" s="1886"/>
      <c r="J27" s="1886"/>
      <c r="K27" s="433"/>
      <c r="L27" s="1937"/>
      <c r="M27" s="1902"/>
      <c r="N27" s="1902"/>
      <c r="O27" s="453" t="s">
        <v>240</v>
      </c>
      <c r="P27" s="433"/>
      <c r="Q27" s="433"/>
      <c r="R27" s="433"/>
      <c r="S27" s="433"/>
      <c r="T27" s="433"/>
      <c r="U27" s="433"/>
    </row>
    <row r="28" spans="1:21" ht="18" customHeight="1" x14ac:dyDescent="0.25">
      <c r="A28" s="433"/>
      <c r="B28" s="433"/>
      <c r="C28" s="1914" t="s">
        <v>694</v>
      </c>
      <c r="D28" s="1915"/>
      <c r="E28" s="1915"/>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14" t="s">
        <v>195</v>
      </c>
      <c r="D29" s="1915"/>
      <c r="E29" s="1915"/>
      <c r="F29" s="199">
        <v>20</v>
      </c>
      <c r="G29" s="433"/>
      <c r="H29" s="199">
        <v>50</v>
      </c>
      <c r="I29" s="199">
        <v>30</v>
      </c>
      <c r="J29" s="199">
        <v>10</v>
      </c>
      <c r="K29" s="433"/>
      <c r="L29" s="1922" t="s">
        <v>492</v>
      </c>
      <c r="M29" s="1929"/>
      <c r="N29" s="1929"/>
      <c r="O29" s="1376">
        <v>35</v>
      </c>
      <c r="P29" s="433"/>
      <c r="Q29" s="433"/>
      <c r="R29" s="433"/>
      <c r="S29" s="433"/>
      <c r="T29" s="433"/>
      <c r="U29" s="433"/>
    </row>
    <row r="30" spans="1:21" ht="18" customHeight="1" x14ac:dyDescent="0.25">
      <c r="A30" s="433"/>
      <c r="B30" s="433"/>
      <c r="C30" s="1914" t="s">
        <v>158</v>
      </c>
      <c r="D30" s="1915"/>
      <c r="E30" s="1915"/>
      <c r="F30" s="199">
        <v>90</v>
      </c>
      <c r="G30" s="433"/>
      <c r="H30" s="158"/>
      <c r="I30" s="198"/>
      <c r="J30" s="158"/>
      <c r="K30" s="433"/>
      <c r="L30" s="1922" t="s">
        <v>695</v>
      </c>
      <c r="M30" s="1929"/>
      <c r="N30" s="1929"/>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35"/>
      <c r="C33" s="1936"/>
      <c r="D33" s="1936"/>
      <c r="E33" s="1849" t="s">
        <v>197</v>
      </c>
      <c r="F33" s="1886"/>
      <c r="G33" s="1886"/>
      <c r="H33" s="1886"/>
      <c r="I33" s="1886"/>
      <c r="J33" s="1886"/>
      <c r="K33" s="1886"/>
      <c r="L33" s="1886"/>
      <c r="M33" s="1886"/>
      <c r="N33" s="1886"/>
      <c r="O33" s="433"/>
      <c r="P33" s="433"/>
      <c r="Q33" s="433"/>
      <c r="R33" s="433"/>
      <c r="S33" s="433"/>
      <c r="T33" s="433"/>
      <c r="U33" s="433"/>
    </row>
    <row r="34" spans="1:21" ht="18" customHeight="1" x14ac:dyDescent="0.25">
      <c r="A34" s="433"/>
      <c r="B34" s="1936"/>
      <c r="C34" s="1936"/>
      <c r="D34" s="1936"/>
      <c r="E34" s="1849" t="s">
        <v>25</v>
      </c>
      <c r="F34" s="1886"/>
      <c r="G34" s="1857" t="s">
        <v>49</v>
      </c>
      <c r="H34" s="1849" t="s">
        <v>426</v>
      </c>
      <c r="I34" s="1886"/>
      <c r="J34" s="1849" t="s">
        <v>427</v>
      </c>
      <c r="K34" s="1849" t="s">
        <v>51</v>
      </c>
      <c r="L34" s="1886"/>
      <c r="M34" s="1849" t="s">
        <v>428</v>
      </c>
      <c r="N34" s="1886"/>
      <c r="O34" s="433"/>
      <c r="P34" s="433"/>
      <c r="Q34" s="433"/>
      <c r="R34" s="433"/>
      <c r="S34" s="433"/>
      <c r="T34" s="433"/>
      <c r="U34" s="433"/>
    </row>
    <row r="35" spans="1:21" ht="18" customHeight="1" x14ac:dyDescent="0.25">
      <c r="A35" s="433"/>
      <c r="B35" s="1936"/>
      <c r="C35" s="1936"/>
      <c r="D35" s="1936"/>
      <c r="E35" s="441" t="s">
        <v>53</v>
      </c>
      <c r="F35" s="441" t="s">
        <v>430</v>
      </c>
      <c r="G35" s="1886"/>
      <c r="H35" s="441" t="s">
        <v>55</v>
      </c>
      <c r="I35" s="441" t="s">
        <v>56</v>
      </c>
      <c r="J35" s="1886"/>
      <c r="K35" s="441" t="s">
        <v>57</v>
      </c>
      <c r="L35" s="441" t="s">
        <v>461</v>
      </c>
      <c r="M35" s="441" t="s">
        <v>429</v>
      </c>
      <c r="N35" s="441" t="s">
        <v>460</v>
      </c>
      <c r="O35" s="433"/>
      <c r="P35" s="433"/>
      <c r="Q35" s="433"/>
      <c r="R35" s="433"/>
      <c r="S35" s="433"/>
      <c r="T35" s="433"/>
      <c r="U35" s="433"/>
    </row>
    <row r="36" spans="1:21" ht="18" customHeight="1" x14ac:dyDescent="0.25">
      <c r="A36" s="433"/>
      <c r="B36" s="1922" t="s">
        <v>431</v>
      </c>
      <c r="C36" s="1929"/>
      <c r="D36" s="1929"/>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2" t="s">
        <v>696</v>
      </c>
      <c r="C37" s="1929"/>
      <c r="D37" s="1929"/>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34" t="s">
        <v>741</v>
      </c>
      <c r="C38" s="1929"/>
      <c r="D38" s="1929"/>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69" t="s">
        <v>744</v>
      </c>
      <c r="C1" s="1970"/>
      <c r="D1" s="1970"/>
      <c r="E1" s="1970"/>
      <c r="F1" s="1970"/>
      <c r="G1" s="1970"/>
      <c r="H1" s="1970"/>
      <c r="I1" s="1970"/>
      <c r="J1" s="1970"/>
      <c r="K1" s="1970"/>
      <c r="L1" s="1970"/>
      <c r="M1" s="1970"/>
      <c r="N1" s="1970"/>
      <c r="O1" s="1970"/>
      <c r="P1" s="1971"/>
      <c r="Q1" s="1971"/>
      <c r="R1" s="1955" t="s">
        <v>198</v>
      </c>
      <c r="S1" s="1956"/>
      <c r="T1" s="1956"/>
      <c r="U1" s="1956"/>
      <c r="V1" s="1962" t="str">
        <f>IF('R-Entrada'!D3&lt;&gt;0,'R-Entrada'!D3,"")</f>
        <v>Biodigestão c/ Prod. E. Elétrica</v>
      </c>
      <c r="W1" s="1963"/>
      <c r="X1" s="1963"/>
      <c r="Y1" s="1963"/>
      <c r="Z1" s="1963"/>
      <c r="AA1" s="1963"/>
      <c r="AB1" s="1964"/>
      <c r="AC1" s="1955" t="s">
        <v>4</v>
      </c>
      <c r="AD1" s="1956"/>
      <c r="AE1" s="1956"/>
      <c r="AF1" s="1956"/>
      <c r="AG1" s="1962" t="str">
        <f>IF('R-Entrada'!D2&lt;&gt;0,'R-Entrada'!D2,"")</f>
        <v>CIRSOP - Consórcio RSU Oeste Paulista</v>
      </c>
      <c r="AH1" s="1963"/>
      <c r="AI1" s="1963"/>
      <c r="AJ1" s="1963"/>
      <c r="AK1" s="1963"/>
      <c r="AL1" s="1963"/>
      <c r="AM1" s="1963"/>
      <c r="AN1" s="1963"/>
      <c r="AO1" s="1963"/>
      <c r="AP1" s="1963"/>
      <c r="AQ1" s="1963"/>
      <c r="AR1" s="1964"/>
      <c r="AS1" s="841" t="s">
        <v>738</v>
      </c>
      <c r="AT1" s="838"/>
      <c r="AV1" s="153"/>
    </row>
    <row r="2" spans="2:69" s="152" customFormat="1" ht="3" customHeight="1" x14ac:dyDescent="0.25">
      <c r="B2" s="1965"/>
      <c r="C2" s="1941"/>
      <c r="D2" s="1941"/>
      <c r="E2" s="1941"/>
      <c r="F2" s="1941"/>
      <c r="G2" s="1941"/>
      <c r="H2" s="1941"/>
      <c r="I2" s="1942"/>
      <c r="J2" s="154"/>
      <c r="K2" s="1959"/>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2"/>
      <c r="AK2" s="1959"/>
      <c r="AL2" s="1941"/>
      <c r="AM2" s="1941"/>
      <c r="AN2" s="1941"/>
      <c r="AO2" s="1941"/>
      <c r="AP2" s="1941"/>
      <c r="AQ2" s="1941"/>
      <c r="AR2" s="1941"/>
      <c r="AS2" s="1941"/>
      <c r="AT2" s="1960"/>
      <c r="AU2" s="153"/>
    </row>
    <row r="3" spans="2:69" s="152" customFormat="1" ht="16.899999999999999" customHeight="1" x14ac:dyDescent="0.25">
      <c r="B3" s="155"/>
      <c r="C3" s="146">
        <f>'R-Entrada'!E14</f>
        <v>467.94871794871796</v>
      </c>
      <c r="D3" s="156"/>
      <c r="E3" s="1961" t="s">
        <v>199</v>
      </c>
      <c r="F3" s="1941"/>
      <c r="G3" s="1941"/>
      <c r="H3" s="1942"/>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61" t="s">
        <v>200</v>
      </c>
      <c r="F5" s="1941"/>
      <c r="G5" s="1941"/>
      <c r="H5" s="1942"/>
      <c r="I5" s="154"/>
      <c r="J5" s="154"/>
      <c r="K5" s="154"/>
      <c r="L5" s="154"/>
      <c r="M5" s="154"/>
      <c r="N5" s="154"/>
      <c r="O5" s="154"/>
      <c r="P5" s="154"/>
      <c r="Q5" s="154"/>
      <c r="R5" s="154"/>
      <c r="S5" s="154"/>
      <c r="T5" s="154"/>
      <c r="U5" s="154"/>
      <c r="V5" s="154"/>
      <c r="W5" s="154"/>
      <c r="X5" s="154"/>
      <c r="Y5" s="154"/>
      <c r="Z5" s="154"/>
      <c r="AA5" s="154"/>
      <c r="AB5" s="1966" t="s">
        <v>424</v>
      </c>
      <c r="AC5" s="1890"/>
      <c r="AD5" s="1890"/>
      <c r="AE5" s="1890"/>
      <c r="AF5" s="1890"/>
      <c r="AG5" s="1890"/>
      <c r="AH5" s="1890"/>
      <c r="AI5" s="1890"/>
      <c r="AJ5" s="1890"/>
      <c r="AK5" s="1890"/>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61" t="s">
        <v>58</v>
      </c>
      <c r="F7" s="1941"/>
      <c r="G7" s="1941"/>
      <c r="H7" s="1942"/>
      <c r="I7" s="154"/>
      <c r="J7" s="154"/>
      <c r="K7" s="154"/>
      <c r="L7" s="154"/>
      <c r="M7" s="154"/>
      <c r="N7" s="154"/>
      <c r="O7" s="154"/>
      <c r="P7" s="154"/>
      <c r="Q7" s="154"/>
      <c r="R7" s="154"/>
      <c r="S7" s="154"/>
      <c r="T7" s="154"/>
      <c r="U7" s="154"/>
      <c r="V7" s="154"/>
      <c r="W7" s="154"/>
      <c r="X7" s="154"/>
      <c r="Y7" s="154"/>
      <c r="Z7" s="154"/>
      <c r="AA7" s="154"/>
      <c r="AB7" s="1967" t="str">
        <f>Apresentação!I2</f>
        <v>RC-RSU V.1.0 - 15/10/2020</v>
      </c>
      <c r="AC7" s="1968"/>
      <c r="AD7" s="1968"/>
      <c r="AE7" s="1968"/>
      <c r="AF7" s="1968"/>
      <c r="AG7" s="1968"/>
      <c r="AH7" s="1968"/>
      <c r="AI7" s="1968"/>
      <c r="AJ7" s="1968"/>
      <c r="AK7" s="1968"/>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1961" t="s">
        <v>201</v>
      </c>
      <c r="F9" s="1941"/>
      <c r="G9" s="1941"/>
      <c r="H9" s="1942"/>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1957" t="s">
        <v>745</v>
      </c>
      <c r="F11" s="1958"/>
      <c r="G11" s="1958"/>
      <c r="H11" s="1958"/>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0" t="s">
        <v>202</v>
      </c>
      <c r="AP11" s="147"/>
      <c r="AQ11" s="1950" t="s">
        <v>203</v>
      </c>
      <c r="AR11" s="147"/>
      <c r="AS11" s="1950"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3"/>
      <c r="AP12" s="147"/>
      <c r="AQ12" s="1951"/>
      <c r="AR12" s="147"/>
      <c r="AS12" s="1951"/>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4"/>
      <c r="AP13" s="147"/>
      <c r="AQ13" s="1952"/>
      <c r="AR13" s="147"/>
      <c r="AS13" s="1952"/>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75" t="s">
        <v>742</v>
      </c>
      <c r="J15" s="1941"/>
      <c r="K15" s="1941"/>
      <c r="L15" s="1941"/>
      <c r="M15" s="1941"/>
      <c r="N15" s="1941"/>
      <c r="O15" s="1942"/>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75" t="s">
        <v>743</v>
      </c>
      <c r="M19" s="1941"/>
      <c r="N19" s="1941"/>
      <c r="O19" s="1941"/>
      <c r="P19" s="1941"/>
      <c r="Q19" s="1941"/>
      <c r="R19" s="1942"/>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1975" t="s">
        <v>746</v>
      </c>
      <c r="R23" s="1941"/>
      <c r="S23" s="1941"/>
      <c r="T23" s="1941"/>
      <c r="U23" s="1941"/>
      <c r="V23" s="1941"/>
      <c r="W23" s="1942"/>
      <c r="X23" s="154"/>
      <c r="Y23" s="154"/>
      <c r="Z23" s="154"/>
      <c r="AA23" s="154"/>
      <c r="AB23" s="154"/>
      <c r="AC23" s="154"/>
      <c r="AD23" s="154"/>
      <c r="AE23" s="154"/>
      <c r="AF23" s="154"/>
      <c r="AG23" s="154"/>
      <c r="AH23" s="154"/>
      <c r="AI23" s="154"/>
      <c r="AJ23" s="154"/>
      <c r="AK23" s="154"/>
      <c r="AL23" s="154"/>
      <c r="AM23" s="154"/>
      <c r="AN23" s="147"/>
      <c r="AO23" s="146">
        <f>'R-Resumo Bal. Massa'!G64</f>
        <v>37.318910256410263</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76">
        <f>F15+F19+F23-AO15-AO19-AO23-AS17-AS21-AS25-S25</f>
        <v>176.88461538461542</v>
      </c>
      <c r="K25" s="1974"/>
      <c r="L25" s="1974"/>
      <c r="M25" s="1946"/>
      <c r="N25" s="154"/>
      <c r="O25" s="154"/>
      <c r="P25" s="154"/>
      <c r="Q25" s="154"/>
      <c r="R25" s="154"/>
      <c r="S25" s="1945">
        <f>IF('R-Definição'!I29&lt;&gt;"Aterro sanitário",'R-Resumo Bal. Massa'!F22,0)</f>
        <v>204.44679487179491</v>
      </c>
      <c r="T25" s="1946"/>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49.298397435897442</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176.88461538461536</v>
      </c>
      <c r="O27" s="154"/>
      <c r="P27" s="154"/>
      <c r="Q27" s="154"/>
      <c r="R27" s="154"/>
      <c r="S27" s="154"/>
      <c r="T27" s="154"/>
      <c r="U27" s="154"/>
      <c r="V27" s="1945">
        <f>'R-Resumo Bal. Massa'!B25</f>
        <v>176.88461538461536</v>
      </c>
      <c r="W27" s="1946"/>
      <c r="X27" s="154"/>
      <c r="Y27" s="1940" t="s">
        <v>99</v>
      </c>
      <c r="Z27" s="1941"/>
      <c r="AA27" s="1941"/>
      <c r="AB27" s="1942"/>
      <c r="AC27" s="154"/>
      <c r="AD27" s="154"/>
      <c r="AE27" s="154"/>
      <c r="AF27" s="154"/>
      <c r="AG27" s="154"/>
      <c r="AH27" s="154"/>
      <c r="AI27" s="154"/>
      <c r="AJ27" s="154"/>
      <c r="AK27" s="154"/>
      <c r="AL27" s="154"/>
      <c r="AM27" s="154"/>
      <c r="AN27" s="147"/>
      <c r="AO27" s="146">
        <f>'R-Resumo Bal. Massa'!E29</f>
        <v>84.020192307692298</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5">
        <f>'R-Definição'!E59</f>
        <v>204.44679487179491</v>
      </c>
      <c r="T29" s="1946"/>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4.4221153846153838</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5">
        <f>SUM('R-Resumo Bal. Massa'!D40:D42)</f>
        <v>0</v>
      </c>
      <c r="K31" s="1974"/>
      <c r="L31" s="1974"/>
      <c r="M31" s="1946"/>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88.442307692307679</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5">
        <f>'R-Resumo Bal. Massa'!D36</f>
        <v>204.44679487179491</v>
      </c>
      <c r="T33" s="1946"/>
      <c r="U33" s="154"/>
      <c r="V33" s="154"/>
      <c r="W33" s="154"/>
      <c r="X33" s="154"/>
      <c r="Y33" s="1945">
        <f>'R-Definição'!E60*'R-Definição'!J59/100</f>
        <v>0</v>
      </c>
      <c r="Z33" s="1946"/>
      <c r="AA33" s="154"/>
      <c r="AB33" s="1947" t="s">
        <v>114</v>
      </c>
      <c r="AC33" s="1948"/>
      <c r="AD33" s="1948"/>
      <c r="AE33" s="1948"/>
      <c r="AF33" s="1949"/>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5">
        <f>'R-Definição'!J68</f>
        <v>0</v>
      </c>
      <c r="AE35" s="1946"/>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5">
        <f>'R-Resumo Bal. Massa'!D35</f>
        <v>204.44679487179491</v>
      </c>
      <c r="T37" s="1946"/>
      <c r="U37" s="154"/>
      <c r="V37" s="154"/>
      <c r="W37" s="154"/>
      <c r="X37" s="154"/>
      <c r="Y37" s="154"/>
      <c r="Z37" s="154"/>
      <c r="AA37" s="154"/>
      <c r="AB37" s="154"/>
      <c r="AC37" s="154"/>
      <c r="AD37" s="1940" t="s">
        <v>131</v>
      </c>
      <c r="AE37" s="1941"/>
      <c r="AF37" s="1941"/>
      <c r="AG37" s="1942"/>
      <c r="AH37" s="154"/>
      <c r="AI37" s="154"/>
      <c r="AJ37" s="154"/>
      <c r="AK37" s="154"/>
      <c r="AL37" s="154"/>
      <c r="AM37" s="154"/>
      <c r="AN37" s="147"/>
      <c r="AO37" s="146">
        <f>'R-Resumo Bal. Massa'!F36-'R-Resumo Bal. Massa'!F33</f>
        <v>92.001057692307697</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61.334038461538469</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5">
        <f>'R-Resumo Bal. Massa'!D43</f>
        <v>0</v>
      </c>
      <c r="U41" s="1946"/>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51.111698717948727</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1945">
        <f>SUM('R-Resumo Bal. Massa'!D39:D42)</f>
        <v>0</v>
      </c>
      <c r="K43" s="1974"/>
      <c r="L43" s="1974"/>
      <c r="M43" s="1946"/>
      <c r="N43" s="154"/>
      <c r="O43" s="154"/>
      <c r="P43" s="154"/>
      <c r="Q43" s="154"/>
      <c r="R43" s="154"/>
      <c r="S43" s="154"/>
      <c r="T43" s="1945">
        <f>'R-Resumo Bal. Massa'!D44</f>
        <v>0</v>
      </c>
      <c r="U43" s="1946"/>
      <c r="V43" s="154"/>
      <c r="W43" s="154"/>
      <c r="X43" s="154"/>
      <c r="Y43" s="154"/>
      <c r="Z43" s="154"/>
      <c r="AA43" s="154"/>
      <c r="AB43" s="154"/>
      <c r="AC43" s="154"/>
      <c r="AD43" s="154"/>
      <c r="AE43" s="154"/>
      <c r="AF43" s="154"/>
      <c r="AG43" s="661"/>
      <c r="AH43" s="1940" t="s">
        <v>204</v>
      </c>
      <c r="AI43" s="1943"/>
      <c r="AJ43" s="1943"/>
      <c r="AK43" s="1944"/>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72">
        <f>'R-Definição'!E126</f>
        <v>128.01322115384616</v>
      </c>
      <c r="J51" s="1973"/>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213.34016025641026</v>
      </c>
      <c r="AP51" s="150"/>
      <c r="AQ51" s="840">
        <f>AQ29+AQ33+AQ39+AQ45</f>
        <v>65.75615384615385</v>
      </c>
      <c r="AR51" s="150"/>
      <c r="AS51" s="840">
        <f>'R-Resumo Bal. Massa'!D53</f>
        <v>188.85240384615383</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72" t="str">
        <f>IF('R-Definição'!O124&gt;0,'R-Definição'!O124,"Não")</f>
        <v>Não</v>
      </c>
      <c r="J53" s="1973"/>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45.6</v>
      </c>
      <c r="AP53" s="151"/>
      <c r="AQ53" s="839">
        <f>IF(C11&lt;&gt;0,ROUND(100-AO53-AS53,1),0)</f>
        <v>14</v>
      </c>
      <c r="AR53" s="151"/>
      <c r="AS53" s="839">
        <f>IF(C11&lt;&gt;0,ROUND(AS51/(AO51+AQ51+AS51)*100,1),0)</f>
        <v>40.4</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92"/>
      <c r="K4" s="1866"/>
      <c r="L4" s="2"/>
      <c r="M4" s="2"/>
      <c r="N4" s="2"/>
      <c r="O4" s="2"/>
      <c r="P4" s="2"/>
      <c r="Q4" s="2"/>
      <c r="R4" s="2"/>
      <c r="S4" s="2"/>
      <c r="T4" s="2"/>
    </row>
    <row r="5" spans="1:20" ht="25.9" customHeight="1" x14ac:dyDescent="0.25">
      <c r="A5" s="2"/>
      <c r="B5" s="92"/>
      <c r="C5" s="190" t="s">
        <v>494</v>
      </c>
      <c r="D5" s="92"/>
      <c r="E5" s="92"/>
      <c r="F5" s="92"/>
      <c r="G5" s="92"/>
      <c r="H5" s="92"/>
      <c r="I5" s="2"/>
      <c r="J5" s="1994" t="s">
        <v>424</v>
      </c>
      <c r="K5" s="1890"/>
      <c r="L5" s="1890"/>
      <c r="M5" s="2"/>
      <c r="N5" s="2"/>
      <c r="O5" s="2"/>
      <c r="P5" s="2"/>
      <c r="Q5" s="2"/>
      <c r="R5" s="2"/>
      <c r="S5" s="2"/>
      <c r="T5" s="2"/>
    </row>
    <row r="6" spans="1:20" ht="18" customHeight="1" x14ac:dyDescent="0.25">
      <c r="A6" s="2"/>
      <c r="B6" s="60"/>
      <c r="C6" s="60"/>
      <c r="D6" s="60"/>
      <c r="E6" s="60"/>
      <c r="F6" s="60"/>
      <c r="G6" s="60"/>
      <c r="H6" s="60"/>
      <c r="I6" s="2"/>
      <c r="J6" s="1860" t="str">
        <f>Apresentação!I2</f>
        <v>RC-RSU V.1.0 - 15/10/2020</v>
      </c>
      <c r="K6" s="1993"/>
      <c r="L6" s="1993"/>
      <c r="M6" s="2"/>
      <c r="N6" s="2"/>
      <c r="O6" s="2"/>
      <c r="P6" s="2"/>
      <c r="Q6" s="2"/>
      <c r="R6" s="2"/>
      <c r="S6" s="2"/>
      <c r="T6" s="2"/>
    </row>
    <row r="7" spans="1:20" ht="18" customHeight="1" x14ac:dyDescent="0.25">
      <c r="A7" s="2"/>
      <c r="B7" s="1849" t="s">
        <v>495</v>
      </c>
      <c r="C7" s="1886"/>
      <c r="D7" s="1886"/>
      <c r="E7" s="1886"/>
      <c r="F7" s="1886"/>
      <c r="G7" s="1886"/>
      <c r="H7" s="1886"/>
      <c r="I7" s="2"/>
      <c r="J7" s="662"/>
      <c r="K7" s="662"/>
      <c r="L7" s="662"/>
      <c r="M7" s="2"/>
      <c r="N7" s="2"/>
      <c r="O7" s="2"/>
      <c r="P7" s="2"/>
      <c r="Q7" s="2"/>
      <c r="R7" s="2"/>
      <c r="S7" s="2"/>
      <c r="T7" s="2"/>
    </row>
    <row r="8" spans="1:20" ht="18" customHeight="1" x14ac:dyDescent="0.25">
      <c r="A8" s="2"/>
      <c r="B8" s="1857" t="s">
        <v>209</v>
      </c>
      <c r="C8" s="1857" t="s">
        <v>210</v>
      </c>
      <c r="D8" s="1849" t="s">
        <v>211</v>
      </c>
      <c r="E8" s="1857" t="s">
        <v>212</v>
      </c>
      <c r="F8" s="1856"/>
      <c r="G8" s="1856"/>
      <c r="H8" s="1856"/>
      <c r="I8" s="2"/>
      <c r="J8" s="2"/>
      <c r="K8" s="2"/>
      <c r="L8" s="2"/>
      <c r="M8" s="2"/>
      <c r="N8" s="2"/>
      <c r="O8" s="2"/>
      <c r="P8" s="13"/>
      <c r="Q8" s="2"/>
      <c r="R8" s="2"/>
      <c r="S8" s="2"/>
      <c r="T8" s="2"/>
    </row>
    <row r="9" spans="1:20" ht="18" customHeight="1" x14ac:dyDescent="0.25">
      <c r="A9" s="6"/>
      <c r="B9" s="1856"/>
      <c r="C9" s="1856"/>
      <c r="D9" s="1856"/>
      <c r="E9" s="1857" t="s">
        <v>213</v>
      </c>
      <c r="F9" s="1977" t="s">
        <v>25</v>
      </c>
      <c r="G9" s="1849" t="s">
        <v>214</v>
      </c>
      <c r="H9" s="1857" t="s">
        <v>215</v>
      </c>
      <c r="I9" s="6"/>
      <c r="J9" s="6"/>
      <c r="K9" s="6"/>
      <c r="L9" s="6"/>
      <c r="M9" s="6"/>
      <c r="N9" s="6"/>
      <c r="O9" s="6"/>
      <c r="P9" s="2"/>
      <c r="Q9" s="2"/>
      <c r="R9" s="6"/>
      <c r="S9" s="2"/>
      <c r="T9" s="2"/>
    </row>
    <row r="10" spans="1:20" ht="18" customHeight="1" x14ac:dyDescent="0.25">
      <c r="A10" s="6"/>
      <c r="B10" s="1856"/>
      <c r="C10" s="1856"/>
      <c r="D10" s="1856"/>
      <c r="E10" s="1856"/>
      <c r="F10" s="1856"/>
      <c r="G10" s="1856"/>
      <c r="H10" s="1856"/>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37.318910256410263</v>
      </c>
      <c r="F21" s="207">
        <f>'R-Definição'!L32</f>
        <v>204.44679487179491</v>
      </c>
      <c r="G21" s="207">
        <f>SUM('R-Definição'!O34:'R-Definição'!O35)</f>
        <v>226.18301282051283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37.318910256410263</v>
      </c>
      <c r="F22" s="208">
        <f>SUM(F19:F21)</f>
        <v>204.44679487179491</v>
      </c>
      <c r="G22" s="208">
        <f>SUM(G19:G21)</f>
        <v>226.18301282051283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95">
        <f>D29</f>
        <v>176.88461538461536</v>
      </c>
      <c r="C25" s="217" t="s">
        <v>681</v>
      </c>
      <c r="D25" s="207">
        <f>'R-Definição'!E49</f>
        <v>0</v>
      </c>
      <c r="E25" s="1978">
        <f>'R-Definição'!O49+'R-Definição'!O50</f>
        <v>84.020192307692298</v>
      </c>
      <c r="F25" s="1982"/>
      <c r="G25" s="1978">
        <f>'R-Definição'!O53</f>
        <v>88.442307692307679</v>
      </c>
      <c r="H25" s="1978">
        <f>'R-Definição'!O55</f>
        <v>4.4221153846153838</v>
      </c>
      <c r="I25" s="2"/>
      <c r="J25" s="2"/>
      <c r="K25" s="2"/>
      <c r="L25" s="2"/>
      <c r="M25" s="2"/>
      <c r="N25" s="2"/>
      <c r="O25" s="2"/>
      <c r="P25" s="2"/>
      <c r="Q25" s="2"/>
      <c r="R25" s="2"/>
      <c r="S25" s="2"/>
      <c r="T25" s="2"/>
    </row>
    <row r="26" spans="1:20" ht="18" customHeight="1" x14ac:dyDescent="0.25">
      <c r="A26" s="2"/>
      <c r="B26" s="1996"/>
      <c r="C26" s="217" t="s">
        <v>682</v>
      </c>
      <c r="D26" s="207">
        <f>'R-Definição'!E50</f>
        <v>0</v>
      </c>
      <c r="E26" s="1979"/>
      <c r="F26" s="1979"/>
      <c r="G26" s="1979"/>
      <c r="H26" s="1979"/>
      <c r="I26" s="2"/>
      <c r="J26" s="2"/>
      <c r="K26" s="2"/>
      <c r="L26" s="2"/>
      <c r="M26" s="2"/>
      <c r="N26" s="2"/>
      <c r="O26" s="2"/>
      <c r="P26" s="2"/>
      <c r="Q26" s="2"/>
      <c r="R26" s="2"/>
      <c r="S26" s="2"/>
      <c r="T26" s="2"/>
    </row>
    <row r="27" spans="1:20" ht="18" customHeight="1" x14ac:dyDescent="0.25">
      <c r="A27" s="2"/>
      <c r="B27" s="1996"/>
      <c r="C27" s="217" t="s">
        <v>496</v>
      </c>
      <c r="D27" s="207">
        <f>'R-Definição'!E51</f>
        <v>176.88461538461536</v>
      </c>
      <c r="E27" s="1979"/>
      <c r="F27" s="1979"/>
      <c r="G27" s="1979"/>
      <c r="H27" s="1979"/>
      <c r="I27" s="2"/>
      <c r="J27" s="2"/>
      <c r="K27" s="2"/>
      <c r="L27" s="2"/>
      <c r="M27" s="2"/>
      <c r="N27" s="2"/>
      <c r="O27" s="2"/>
      <c r="P27" s="2"/>
      <c r="Q27" s="2"/>
      <c r="R27" s="2"/>
      <c r="S27" s="2"/>
      <c r="T27" s="2"/>
    </row>
    <row r="28" spans="1:20" ht="18" customHeight="1" x14ac:dyDescent="0.25">
      <c r="A28" s="2"/>
      <c r="B28" s="1996"/>
      <c r="C28" s="217" t="s">
        <v>497</v>
      </c>
      <c r="D28" s="207">
        <f>'R-Definição'!E52</f>
        <v>0</v>
      </c>
      <c r="E28" s="1979"/>
      <c r="F28" s="1979"/>
      <c r="G28" s="1979"/>
      <c r="H28" s="1979"/>
      <c r="I28" s="2"/>
      <c r="J28" s="2"/>
      <c r="K28" s="2"/>
      <c r="L28" s="2"/>
      <c r="M28" s="2"/>
      <c r="N28" s="2"/>
      <c r="O28" s="2"/>
      <c r="P28" s="2"/>
      <c r="Q28" s="2"/>
      <c r="R28" s="2"/>
      <c r="S28" s="2"/>
      <c r="T28" s="2"/>
    </row>
    <row r="29" spans="1:20" ht="18" customHeight="1" x14ac:dyDescent="0.25">
      <c r="A29" s="2"/>
      <c r="B29" s="206"/>
      <c r="C29" s="673" t="s">
        <v>217</v>
      </c>
      <c r="D29" s="668">
        <f>SUM(D25:D28)</f>
        <v>176.88461538461536</v>
      </c>
      <c r="E29" s="208">
        <f>E25</f>
        <v>84.020192307692298</v>
      </c>
      <c r="F29" s="208"/>
      <c r="G29" s="208">
        <f>SUM(G25)</f>
        <v>88.442307692307679</v>
      </c>
      <c r="H29" s="208">
        <f>SUM(H25:H28)</f>
        <v>4.4221153846153838</v>
      </c>
      <c r="I29" s="2"/>
      <c r="J29" s="2"/>
      <c r="K29" s="2"/>
      <c r="L29" s="2"/>
      <c r="M29" s="2"/>
      <c r="N29" s="2"/>
      <c r="O29" s="2"/>
      <c r="P29" s="2"/>
      <c r="Q29" s="2"/>
      <c r="R29" s="2"/>
      <c r="S29" s="2"/>
      <c r="T29" s="2"/>
    </row>
    <row r="30" spans="1:20" ht="18" customHeight="1" x14ac:dyDescent="0.25">
      <c r="A30" s="2"/>
      <c r="B30" s="666">
        <f>'R-Definição'!I51</f>
        <v>176.88461538461536</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1981">
        <f>'R-Definição'!O67+'R-Definição'!O68</f>
        <v>92.001057692307697</v>
      </c>
      <c r="G34" s="1978">
        <f>'R-Definição'!O73</f>
        <v>51.111698717948727</v>
      </c>
      <c r="H34" s="1978">
        <f>'R-Definição'!O74</f>
        <v>61.334038461538469</v>
      </c>
      <c r="I34" s="2"/>
      <c r="J34" s="2"/>
      <c r="K34" s="2"/>
      <c r="L34" s="2"/>
      <c r="M34" s="2"/>
      <c r="N34" s="2"/>
      <c r="O34" s="2"/>
      <c r="P34" s="2"/>
      <c r="Q34" s="2"/>
      <c r="R34" s="2"/>
      <c r="S34" s="2"/>
      <c r="T34" s="2"/>
    </row>
    <row r="35" spans="1:20" ht="18" customHeight="1" x14ac:dyDescent="0.25">
      <c r="A35" s="2"/>
      <c r="B35" s="666">
        <f>'R-Definição'!O63+'R-Definição'!O64</f>
        <v>204.44679487179491</v>
      </c>
      <c r="C35" s="447" t="s">
        <v>131</v>
      </c>
      <c r="D35" s="207">
        <f>'R-Definição'!E60-'R-Definição'!O62</f>
        <v>204.44679487179491</v>
      </c>
      <c r="E35" s="792"/>
      <c r="F35" s="1980"/>
      <c r="G35" s="1980"/>
      <c r="H35" s="1980"/>
      <c r="I35" s="2"/>
      <c r="J35" s="2"/>
      <c r="K35" s="2"/>
      <c r="L35" s="2"/>
      <c r="M35" s="2"/>
      <c r="N35" s="2"/>
      <c r="O35" s="2"/>
      <c r="P35" s="2"/>
      <c r="Q35" s="2"/>
      <c r="R35" s="2"/>
      <c r="S35" s="2"/>
      <c r="T35" s="2"/>
    </row>
    <row r="36" spans="1:20" ht="18" customHeight="1" x14ac:dyDescent="0.25">
      <c r="A36" s="2"/>
      <c r="B36" s="196"/>
      <c r="C36" s="674" t="s">
        <v>217</v>
      </c>
      <c r="D36" s="224">
        <f>SUM(D33:D35)</f>
        <v>204.44679487179491</v>
      </c>
      <c r="E36" s="219"/>
      <c r="F36" s="676">
        <f>F34</f>
        <v>92.001057692307697</v>
      </c>
      <c r="G36" s="676">
        <f>G34</f>
        <v>51.111698717948727</v>
      </c>
      <c r="H36" s="676">
        <f>H34</f>
        <v>61.334038461538469</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95">
        <f>'R-Definição'!E112</f>
        <v>0</v>
      </c>
      <c r="C39" s="447" t="s">
        <v>221</v>
      </c>
      <c r="D39" s="207">
        <f>'R-Definição'!E107</f>
        <v>0</v>
      </c>
      <c r="E39" s="1983">
        <f>'R-Definição'!O107+'R-Definição'!O108+'R-Definição'!O109</f>
        <v>0</v>
      </c>
      <c r="F39" s="1982"/>
      <c r="G39" s="1983">
        <f>'R-Definição'!O110</f>
        <v>0</v>
      </c>
      <c r="H39" s="1983">
        <f>'R-Definição'!O113</f>
        <v>0</v>
      </c>
      <c r="I39" s="2"/>
      <c r="J39" s="2"/>
      <c r="K39" s="2"/>
      <c r="L39" s="2"/>
      <c r="M39" s="2"/>
      <c r="N39" s="2"/>
      <c r="O39" s="2"/>
      <c r="P39" s="2"/>
      <c r="Q39" s="2"/>
      <c r="R39" s="2"/>
      <c r="S39" s="2"/>
      <c r="T39" s="2"/>
    </row>
    <row r="40" spans="1:20" ht="18" customHeight="1" x14ac:dyDescent="0.25">
      <c r="A40" s="2"/>
      <c r="B40" s="1929"/>
      <c r="C40" s="447" t="s">
        <v>700</v>
      </c>
      <c r="D40" s="207">
        <f>'R-Definição'!E108</f>
        <v>0</v>
      </c>
      <c r="E40" s="1980"/>
      <c r="F40" s="1980"/>
      <c r="G40" s="1980"/>
      <c r="H40" s="1980"/>
      <c r="I40" s="2"/>
      <c r="J40" s="2"/>
      <c r="K40" s="2"/>
      <c r="L40" s="2"/>
      <c r="M40" s="2"/>
      <c r="N40" s="2"/>
      <c r="O40" s="2"/>
      <c r="P40" s="2"/>
      <c r="Q40" s="2"/>
      <c r="R40" s="2"/>
      <c r="S40" s="2"/>
      <c r="T40" s="2"/>
    </row>
    <row r="41" spans="1:20" ht="18" customHeight="1" x14ac:dyDescent="0.25">
      <c r="A41" s="2"/>
      <c r="B41" s="1929"/>
      <c r="C41" s="447" t="s">
        <v>683</v>
      </c>
      <c r="D41" s="207">
        <f>'R-Definição'!E109</f>
        <v>0</v>
      </c>
      <c r="E41" s="1980"/>
      <c r="F41" s="1980"/>
      <c r="G41" s="1980"/>
      <c r="H41" s="1980"/>
      <c r="I41" s="2"/>
      <c r="J41" s="2"/>
      <c r="K41" s="2"/>
      <c r="L41" s="2"/>
      <c r="M41" s="2"/>
      <c r="N41" s="2"/>
      <c r="O41" s="2"/>
      <c r="P41" s="2"/>
      <c r="Q41" s="2"/>
      <c r="R41" s="2"/>
      <c r="S41" s="2"/>
      <c r="T41" s="2"/>
    </row>
    <row r="42" spans="1:20" ht="18" customHeight="1" x14ac:dyDescent="0.25">
      <c r="A42" s="2"/>
      <c r="B42" s="1929"/>
      <c r="C42" s="220" t="s">
        <v>729</v>
      </c>
      <c r="D42" s="207">
        <f>'R-Definição'!E110</f>
        <v>0</v>
      </c>
      <c r="E42" s="1980"/>
      <c r="F42" s="1980"/>
      <c r="G42" s="1980"/>
      <c r="H42" s="1980"/>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89">
        <f>'R-Definição'!E119</f>
        <v>188.85240384615389</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90"/>
      <c r="C48" s="447" t="s">
        <v>498</v>
      </c>
      <c r="D48" s="207">
        <f>'R-Definição'!N96</f>
        <v>49.298397435897442</v>
      </c>
      <c r="E48" s="5"/>
      <c r="F48" s="667"/>
      <c r="G48" s="205" t="s">
        <v>224</v>
      </c>
      <c r="H48" s="205" t="s">
        <v>22</v>
      </c>
      <c r="I48" s="2"/>
      <c r="J48" s="2"/>
      <c r="K48" s="2"/>
      <c r="L48" s="2"/>
      <c r="M48" s="2"/>
      <c r="N48" s="2"/>
      <c r="O48" s="2"/>
      <c r="P48" s="2"/>
      <c r="Q48" s="2"/>
      <c r="R48" s="2"/>
      <c r="S48" s="2"/>
      <c r="T48" s="2"/>
    </row>
    <row r="49" spans="1:20" ht="18" customHeight="1" x14ac:dyDescent="0.25">
      <c r="A49" s="2"/>
      <c r="B49" s="1990"/>
      <c r="C49" s="447" t="s">
        <v>499</v>
      </c>
      <c r="D49" s="207">
        <f>'R-Definição'!N98+'R-Definição'!N99+'R-Definição'!N97</f>
        <v>0</v>
      </c>
      <c r="E49" s="4"/>
      <c r="F49" s="217" t="s">
        <v>225</v>
      </c>
      <c r="G49" s="207">
        <f>D53</f>
        <v>188.85240384615383</v>
      </c>
      <c r="H49" s="706">
        <f>IF($G$52&lt;&gt;0,G49/$G$52*100,0)</f>
        <v>40.357499999999995</v>
      </c>
      <c r="I49" s="19"/>
      <c r="J49" s="2"/>
      <c r="K49" s="2"/>
      <c r="L49" s="2"/>
      <c r="M49" s="2"/>
      <c r="N49" s="2"/>
      <c r="O49" s="2"/>
      <c r="P49" s="2"/>
      <c r="Q49" s="2"/>
      <c r="R49" s="2"/>
      <c r="S49" s="2"/>
      <c r="T49" s="2"/>
    </row>
    <row r="50" spans="1:20" ht="18" customHeight="1" x14ac:dyDescent="0.25">
      <c r="A50" s="2"/>
      <c r="B50" s="1990"/>
      <c r="C50" s="447" t="s">
        <v>500</v>
      </c>
      <c r="D50" s="207">
        <f>'R-Definição'!O53</f>
        <v>88.442307692307679</v>
      </c>
      <c r="E50" s="4"/>
      <c r="F50" s="217" t="s">
        <v>503</v>
      </c>
      <c r="G50" s="706">
        <f>E44+F36+E29+E22</f>
        <v>213.34016025641029</v>
      </c>
      <c r="H50" s="706">
        <f>IF($G$52&lt;&gt;0,G50/$G$52*100,0)</f>
        <v>45.590500000000006</v>
      </c>
      <c r="I50" s="21"/>
      <c r="J50" s="2"/>
      <c r="K50" s="2"/>
      <c r="L50" s="2"/>
      <c r="M50" s="2"/>
      <c r="N50" s="2"/>
      <c r="O50" s="2"/>
      <c r="P50" s="2"/>
      <c r="Q50" s="2"/>
      <c r="R50" s="2"/>
      <c r="S50" s="2"/>
      <c r="T50" s="2"/>
    </row>
    <row r="51" spans="1:20" ht="18" customHeight="1" x14ac:dyDescent="0.25">
      <c r="A51" s="2"/>
      <c r="B51" s="1990"/>
      <c r="C51" s="447" t="s">
        <v>501</v>
      </c>
      <c r="D51" s="207">
        <f>'R-Definição'!O73</f>
        <v>51.111698717948727</v>
      </c>
      <c r="E51" s="2"/>
      <c r="F51" s="217" t="s">
        <v>226</v>
      </c>
      <c r="G51" s="706">
        <f>H29+H36+H44</f>
        <v>65.75615384615385</v>
      </c>
      <c r="H51" s="706">
        <f>IF($G$52&lt;&gt;0,G51/$G$52*100,0)</f>
        <v>14.052000000000001</v>
      </c>
      <c r="I51" s="2"/>
      <c r="J51" s="2"/>
      <c r="K51" s="2"/>
      <c r="L51" s="2"/>
      <c r="M51" s="2"/>
      <c r="N51" s="2"/>
      <c r="O51" s="2"/>
      <c r="P51" s="2"/>
      <c r="Q51" s="2"/>
      <c r="R51" s="2"/>
      <c r="S51" s="2"/>
      <c r="T51" s="2"/>
    </row>
    <row r="52" spans="1:20" ht="18" customHeight="1" x14ac:dyDescent="0.25">
      <c r="A52" s="2"/>
      <c r="B52" s="1991"/>
      <c r="C52" s="447" t="s">
        <v>502</v>
      </c>
      <c r="D52" s="207">
        <f>'R-Definição'!O110</f>
        <v>0</v>
      </c>
      <c r="E52" s="2"/>
      <c r="F52" s="679" t="s">
        <v>52</v>
      </c>
      <c r="G52" s="208">
        <f>SUM(G49:G51)</f>
        <v>467.94871794871796</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188.85240384615383</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49" t="s">
        <v>150</v>
      </c>
      <c r="C55" s="1886"/>
      <c r="D55" s="1849" t="s">
        <v>228</v>
      </c>
      <c r="E55" s="1916"/>
      <c r="F55" s="1916"/>
      <c r="G55" s="1916"/>
      <c r="H55" s="1916"/>
      <c r="I55" s="1916"/>
      <c r="J55" s="1916"/>
      <c r="K55" s="1916"/>
      <c r="L55" s="2"/>
      <c r="M55" s="2"/>
      <c r="N55" s="2"/>
      <c r="O55" s="2"/>
      <c r="P55" s="2"/>
      <c r="Q55" s="2"/>
      <c r="R55" s="2"/>
      <c r="S55" s="2"/>
      <c r="T55" s="2"/>
    </row>
    <row r="56" spans="1:20" ht="18" customHeight="1" x14ac:dyDescent="0.25">
      <c r="A56" s="2"/>
      <c r="B56" s="1886"/>
      <c r="C56" s="1886"/>
      <c r="D56" s="1988" t="s">
        <v>52</v>
      </c>
      <c r="E56" s="1988" t="s">
        <v>184</v>
      </c>
      <c r="F56" s="1985"/>
      <c r="G56" s="1985"/>
      <c r="H56" s="1984" t="s">
        <v>61</v>
      </c>
      <c r="I56" s="1984" t="s">
        <v>187</v>
      </c>
      <c r="J56" s="1984" t="s">
        <v>63</v>
      </c>
      <c r="K56" s="1984" t="s">
        <v>64</v>
      </c>
      <c r="L56" s="2"/>
      <c r="M56" s="2"/>
      <c r="N56" s="2"/>
      <c r="O56" s="2"/>
      <c r="P56" s="2"/>
      <c r="Q56" s="2"/>
      <c r="R56" s="2"/>
      <c r="S56" s="2"/>
      <c r="T56" s="2"/>
    </row>
    <row r="57" spans="1:20" ht="18" customHeight="1" x14ac:dyDescent="0.25">
      <c r="A57" s="2"/>
      <c r="B57" s="1987" t="s">
        <v>28</v>
      </c>
      <c r="C57" s="454" t="s">
        <v>21</v>
      </c>
      <c r="D57" s="1985"/>
      <c r="E57" s="454" t="s">
        <v>79</v>
      </c>
      <c r="F57" s="454" t="s">
        <v>86</v>
      </c>
      <c r="G57" s="454" t="s">
        <v>72</v>
      </c>
      <c r="H57" s="1985"/>
      <c r="I57" s="1985"/>
      <c r="J57" s="1985"/>
      <c r="K57" s="1985"/>
      <c r="L57" s="2"/>
      <c r="M57" s="2"/>
      <c r="N57" s="2"/>
      <c r="O57" s="2"/>
      <c r="P57" s="2"/>
      <c r="Q57" s="2"/>
      <c r="R57" s="2"/>
      <c r="S57" s="2"/>
      <c r="T57" s="2"/>
    </row>
    <row r="58" spans="1:20" ht="18" customHeight="1" x14ac:dyDescent="0.25">
      <c r="A58" s="2"/>
      <c r="B58" s="1987"/>
      <c r="C58" s="217" t="s">
        <v>73</v>
      </c>
      <c r="D58" s="207">
        <f t="shared" ref="D58:D64" si="0">SUM(E58:K58)</f>
        <v>15.325320512820513</v>
      </c>
      <c r="E58" s="207">
        <f>'R-Definição'!M24</f>
        <v>0</v>
      </c>
      <c r="F58" s="207">
        <f>'R-Definição'!N24</f>
        <v>0</v>
      </c>
      <c r="G58" s="207">
        <f>'R-Definição'!O24</f>
        <v>15.325320512820513</v>
      </c>
      <c r="H58" s="706"/>
      <c r="I58" s="455"/>
      <c r="J58" s="455"/>
      <c r="K58" s="455"/>
      <c r="L58" s="2"/>
      <c r="M58" s="2"/>
      <c r="N58" s="2"/>
      <c r="O58" s="2"/>
      <c r="P58" s="2"/>
      <c r="Q58" s="2"/>
      <c r="R58" s="2"/>
      <c r="S58" s="2"/>
      <c r="T58" s="2"/>
    </row>
    <row r="59" spans="1:20" ht="18" customHeight="1" x14ac:dyDescent="0.25">
      <c r="A59" s="2"/>
      <c r="B59" s="1987"/>
      <c r="C59" s="217" t="s">
        <v>29</v>
      </c>
      <c r="D59" s="207">
        <f t="shared" si="0"/>
        <v>10.411858974358974</v>
      </c>
      <c r="E59" s="207">
        <f>'R-Definição'!M25</f>
        <v>0</v>
      </c>
      <c r="F59" s="207">
        <f>'R-Definição'!N25</f>
        <v>0</v>
      </c>
      <c r="G59" s="207">
        <f>'R-Definição'!O25</f>
        <v>10.411858974358974</v>
      </c>
      <c r="H59" s="707"/>
      <c r="I59" s="708"/>
      <c r="J59" s="708"/>
      <c r="K59" s="708"/>
      <c r="L59" s="2"/>
      <c r="M59" s="2"/>
      <c r="N59" s="2"/>
      <c r="O59" s="2"/>
      <c r="P59" s="2"/>
      <c r="Q59" s="2"/>
      <c r="R59" s="2"/>
      <c r="S59" s="2"/>
      <c r="T59" s="2"/>
    </row>
    <row r="60" spans="1:20" ht="18" customHeight="1" x14ac:dyDescent="0.25">
      <c r="A60" s="2"/>
      <c r="B60" s="1987"/>
      <c r="C60" s="217" t="s">
        <v>77</v>
      </c>
      <c r="D60" s="207">
        <f t="shared" si="0"/>
        <v>5.3814102564102564</v>
      </c>
      <c r="E60" s="207">
        <f>'R-Definição'!M26</f>
        <v>0</v>
      </c>
      <c r="F60" s="207">
        <f>'R-Definição'!N26</f>
        <v>0</v>
      </c>
      <c r="G60" s="207">
        <f>'R-Definição'!O26</f>
        <v>5.3814102564102564</v>
      </c>
      <c r="H60" s="706"/>
      <c r="I60" s="455"/>
      <c r="J60" s="455"/>
      <c r="K60" s="455"/>
      <c r="L60" s="2"/>
      <c r="M60" s="2"/>
      <c r="N60" s="2"/>
      <c r="O60" s="2"/>
      <c r="P60" s="2"/>
      <c r="Q60" s="2"/>
      <c r="R60" s="2"/>
      <c r="S60" s="2"/>
      <c r="T60" s="2"/>
    </row>
    <row r="61" spans="1:20" ht="18" customHeight="1" x14ac:dyDescent="0.25">
      <c r="A61" s="2"/>
      <c r="B61" s="1987"/>
      <c r="C61" s="217" t="s">
        <v>31</v>
      </c>
      <c r="D61" s="207">
        <f t="shared" si="0"/>
        <v>2.8076923076923079</v>
      </c>
      <c r="E61" s="207">
        <f>'R-Definição'!M27</f>
        <v>0</v>
      </c>
      <c r="F61" s="207">
        <f>'R-Definição'!N27</f>
        <v>0</v>
      </c>
      <c r="G61" s="207">
        <f>'R-Definição'!O27</f>
        <v>2.8076923076923079</v>
      </c>
      <c r="H61" s="706"/>
      <c r="I61" s="455"/>
      <c r="J61" s="455"/>
      <c r="K61" s="455"/>
      <c r="L61" s="2"/>
      <c r="M61" s="2"/>
      <c r="N61" s="2"/>
      <c r="O61" s="2"/>
      <c r="P61" s="2"/>
      <c r="Q61" s="2"/>
      <c r="R61" s="2"/>
      <c r="S61" s="2"/>
      <c r="T61" s="2"/>
    </row>
    <row r="62" spans="1:20" ht="18" customHeight="1" x14ac:dyDescent="0.25">
      <c r="A62" s="2"/>
      <c r="B62" s="1987"/>
      <c r="C62" s="217" t="s">
        <v>32</v>
      </c>
      <c r="D62" s="207">
        <f t="shared" si="0"/>
        <v>2.6907051282051282</v>
      </c>
      <c r="E62" s="207">
        <f>'R-Definição'!M28</f>
        <v>0</v>
      </c>
      <c r="F62" s="207">
        <f>'R-Definição'!N28</f>
        <v>0</v>
      </c>
      <c r="G62" s="207">
        <f>'R-Definição'!O28</f>
        <v>2.6907051282051282</v>
      </c>
      <c r="H62" s="706"/>
      <c r="I62" s="455"/>
      <c r="J62" s="706">
        <f>'R-Definição'!O107</f>
        <v>0</v>
      </c>
      <c r="K62" s="455"/>
      <c r="L62" s="2"/>
      <c r="M62" s="2"/>
      <c r="N62" s="2"/>
      <c r="O62" s="2"/>
      <c r="P62" s="2"/>
      <c r="Q62" s="2"/>
      <c r="R62" s="2"/>
      <c r="S62" s="2"/>
      <c r="T62" s="2"/>
    </row>
    <row r="63" spans="1:20" ht="18" customHeight="1" x14ac:dyDescent="0.25">
      <c r="A63" s="2"/>
      <c r="B63" s="1987"/>
      <c r="C63" s="217" t="s">
        <v>83</v>
      </c>
      <c r="D63" s="207">
        <f t="shared" si="0"/>
        <v>0.70192307692307698</v>
      </c>
      <c r="E63" s="207">
        <f>'R-Definição'!M29</f>
        <v>0</v>
      </c>
      <c r="F63" s="207">
        <f>'R-Definição'!N29</f>
        <v>0</v>
      </c>
      <c r="G63" s="207">
        <f>'R-Definição'!O29</f>
        <v>0.70192307692307698</v>
      </c>
      <c r="H63" s="706"/>
      <c r="I63" s="455"/>
      <c r="J63" s="706">
        <f>'R-Definição'!O108</f>
        <v>0</v>
      </c>
      <c r="K63" s="455"/>
      <c r="L63" s="2"/>
      <c r="M63" s="2"/>
      <c r="N63" s="2"/>
      <c r="O63" s="2"/>
      <c r="P63" s="2"/>
      <c r="Q63" s="2"/>
      <c r="R63" s="2"/>
      <c r="S63" s="2"/>
      <c r="T63" s="2"/>
    </row>
    <row r="64" spans="1:20" ht="18" customHeight="1" x14ac:dyDescent="0.25">
      <c r="A64" s="2"/>
      <c r="B64" s="1987"/>
      <c r="C64" s="680" t="s">
        <v>464</v>
      </c>
      <c r="D64" s="224">
        <f t="shared" si="0"/>
        <v>37.318910256410263</v>
      </c>
      <c r="E64" s="225">
        <f>SUM(E58:E63)</f>
        <v>0</v>
      </c>
      <c r="F64" s="225">
        <f>SUM(F58:F63)</f>
        <v>0</v>
      </c>
      <c r="G64" s="225">
        <f>SUM(G58:G63)</f>
        <v>37.318910256410263</v>
      </c>
      <c r="H64" s="218"/>
      <c r="I64" s="456"/>
      <c r="J64" s="226">
        <f>SUM(J58:J63)</f>
        <v>0</v>
      </c>
      <c r="K64" s="456"/>
      <c r="L64" s="2"/>
      <c r="M64" s="2"/>
      <c r="N64" s="2"/>
      <c r="O64" s="2"/>
      <c r="P64" s="2"/>
      <c r="Q64" s="2"/>
      <c r="R64" s="2"/>
      <c r="S64" s="2"/>
      <c r="T64" s="2"/>
    </row>
    <row r="65" spans="1:20" ht="18" customHeight="1" x14ac:dyDescent="0.25">
      <c r="A65" s="2"/>
      <c r="B65" s="1987"/>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86" t="s">
        <v>229</v>
      </c>
      <c r="C66" s="217" t="s">
        <v>230</v>
      </c>
      <c r="D66" s="207">
        <f>SUM(E66:K66)</f>
        <v>92.001057692307697</v>
      </c>
      <c r="E66" s="455"/>
      <c r="F66" s="455"/>
      <c r="G66" s="455"/>
      <c r="H66" s="706"/>
      <c r="I66" s="706">
        <f>'R-Definição'!O67</f>
        <v>92.001057692307697</v>
      </c>
      <c r="J66" s="455"/>
      <c r="K66" s="455"/>
      <c r="L66" s="2"/>
      <c r="M66" s="2"/>
      <c r="N66" s="2"/>
      <c r="O66" s="2"/>
      <c r="P66" s="2"/>
      <c r="Q66" s="2"/>
      <c r="R66" s="2"/>
      <c r="S66" s="2"/>
      <c r="T66" s="2"/>
    </row>
    <row r="67" spans="1:20" ht="18" customHeight="1" x14ac:dyDescent="0.25">
      <c r="A67" s="2"/>
      <c r="B67" s="1987"/>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87"/>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87"/>
      <c r="C69" s="680" t="s">
        <v>505</v>
      </c>
      <c r="D69" s="224">
        <f>SUM(D66:D67)</f>
        <v>92.001057692307697</v>
      </c>
      <c r="E69" s="454"/>
      <c r="F69" s="454"/>
      <c r="G69" s="454"/>
      <c r="H69" s="218"/>
      <c r="I69" s="218">
        <f>SUM(I66:I68)</f>
        <v>92.001057692307697</v>
      </c>
      <c r="J69" s="456"/>
      <c r="K69" s="456"/>
      <c r="L69" s="2"/>
      <c r="M69" s="2"/>
      <c r="N69" s="2"/>
      <c r="O69" s="2"/>
      <c r="P69" s="2"/>
      <c r="Q69" s="2"/>
      <c r="R69" s="2"/>
      <c r="S69" s="2"/>
      <c r="T69" s="2"/>
    </row>
    <row r="70" spans="1:20" ht="18" customHeight="1" x14ac:dyDescent="0.25">
      <c r="A70" s="2"/>
      <c r="B70" s="1987"/>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87"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87"/>
      <c r="C72" s="217" t="s">
        <v>233</v>
      </c>
      <c r="D72" s="207">
        <f>SUM(E72:K72)</f>
        <v>84.020192307692298</v>
      </c>
      <c r="E72" s="455"/>
      <c r="F72" s="455"/>
      <c r="G72" s="455"/>
      <c r="H72" s="706">
        <f>'R-Definição'!O50</f>
        <v>84.020192307692298</v>
      </c>
      <c r="I72" s="455"/>
      <c r="J72" s="455"/>
      <c r="K72" s="455"/>
      <c r="L72" s="2"/>
      <c r="M72" s="2"/>
      <c r="N72" s="2"/>
      <c r="O72" s="2"/>
      <c r="P72" s="2"/>
      <c r="Q72" s="2"/>
      <c r="R72" s="2"/>
      <c r="S72" s="2"/>
      <c r="T72" s="2"/>
    </row>
    <row r="73" spans="1:20" ht="18" customHeight="1" x14ac:dyDescent="0.25">
      <c r="A73" s="2"/>
      <c r="B73" s="1987"/>
      <c r="C73" s="454" t="s">
        <v>506</v>
      </c>
      <c r="D73" s="224">
        <f>SUM(D71:D72)</f>
        <v>84.020192307692298</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H33" sqref="H33"/>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09" t="s">
        <v>424</v>
      </c>
      <c r="D2" s="1866"/>
      <c r="E2" s="691"/>
      <c r="F2" s="1366" t="s">
        <v>436</v>
      </c>
      <c r="G2" s="2000" t="str">
        <f>IF('R-Definição'!D2&lt;&gt;0,'R-Definição'!D2,"")</f>
        <v>CIRSOP - Consórcio RSU Oeste Paulista</v>
      </c>
      <c r="H2" s="2001"/>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08" t="str">
        <f>Apresentação!I2</f>
        <v>RC-RSU V.1.0 - 15/10/2020</v>
      </c>
      <c r="D3" s="2008"/>
      <c r="E3" s="691"/>
      <c r="F3" s="1367" t="s">
        <v>437</v>
      </c>
      <c r="G3" s="2002" t="str">
        <f>IF('R-Definição'!D3&lt;&gt;0,'R-Definição'!D3,"")</f>
        <v>Biodigestão c/ Prod. E. Elétrica</v>
      </c>
      <c r="H3" s="2003"/>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467.94871794871796</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533.26842603756552</v>
      </c>
      <c r="V7" s="809">
        <f>L59</f>
        <v>167.65389744488391</v>
      </c>
      <c r="W7" s="809">
        <f>L62</f>
        <v>0</v>
      </c>
      <c r="X7" s="809">
        <f>L65</f>
        <v>0</v>
      </c>
      <c r="Y7" s="809">
        <f>L68</f>
        <v>133.450997768669</v>
      </c>
      <c r="Z7" s="809">
        <f>L71</f>
        <v>0</v>
      </c>
      <c r="AA7" s="809">
        <f>L74</f>
        <v>134.41842267796696</v>
      </c>
      <c r="AB7" s="1407"/>
    </row>
    <row r="8" spans="1:28" s="1760" customFormat="1" ht="17.649999999999999" customHeight="1" x14ac:dyDescent="0.25">
      <c r="A8" s="1499"/>
      <c r="B8" s="1804" t="s">
        <v>248</v>
      </c>
      <c r="C8" s="1761" t="s">
        <v>249</v>
      </c>
      <c r="D8" s="1762">
        <f>D40</f>
        <v>146000</v>
      </c>
      <c r="E8" s="1499"/>
      <c r="F8" s="1804" t="s">
        <v>513</v>
      </c>
      <c r="G8" s="1761" t="s">
        <v>243</v>
      </c>
      <c r="H8" s="1758">
        <f>O78</f>
        <v>24.303236260123519</v>
      </c>
      <c r="I8" s="1499"/>
      <c r="J8" s="1499"/>
      <c r="K8" s="1759"/>
      <c r="L8" s="1499"/>
      <c r="M8" s="1499"/>
      <c r="N8" s="1499"/>
      <c r="O8" s="1499"/>
      <c r="P8" s="1499"/>
      <c r="Q8" s="1499"/>
      <c r="R8" s="808" t="s">
        <v>251</v>
      </c>
      <c r="S8" s="1408">
        <v>0</v>
      </c>
      <c r="T8" s="810">
        <f>L52</f>
        <v>0</v>
      </c>
      <c r="U8" s="810">
        <f>L55</f>
        <v>531.56469304703</v>
      </c>
      <c r="V8" s="810">
        <f>L58</f>
        <v>442.1118042057895</v>
      </c>
      <c r="W8" s="810">
        <f>L61</f>
        <v>0</v>
      </c>
      <c r="X8" s="810">
        <f>L64</f>
        <v>0</v>
      </c>
      <c r="Y8" s="810">
        <f>L67</f>
        <v>304.47387675310966</v>
      </c>
      <c r="Z8" s="810">
        <f>L70</f>
        <v>0</v>
      </c>
      <c r="AA8" s="810">
        <f>L73</f>
        <v>251.95644550214709</v>
      </c>
      <c r="AB8" s="1407"/>
    </row>
    <row r="9" spans="1:28" s="1760" customFormat="1" ht="17.649999999999999" customHeight="1" x14ac:dyDescent="0.25">
      <c r="A9" s="1499"/>
      <c r="B9" s="1805" t="s">
        <v>509</v>
      </c>
      <c r="C9" s="1763" t="s">
        <v>249</v>
      </c>
      <c r="D9" s="1765">
        <f>D44</f>
        <v>58921.95</v>
      </c>
      <c r="E9" s="1499"/>
      <c r="F9" s="1805" t="s">
        <v>842</v>
      </c>
      <c r="G9" s="1763" t="s">
        <v>243</v>
      </c>
      <c r="H9" s="1766">
        <f>IF('R-Definição'!$E$121="Existente",((D88+D89)*D44+(D89*D11))/1000000,((D85+D88)*D44+(D89*D11))/1000000)</f>
        <v>2.9460975</v>
      </c>
      <c r="I9" s="1499"/>
      <c r="J9" s="1499"/>
      <c r="K9" s="1759"/>
      <c r="L9" s="1499"/>
      <c r="M9" s="1499"/>
      <c r="N9" s="1499"/>
      <c r="O9" s="1499"/>
      <c r="P9" s="1499"/>
      <c r="Q9" s="1499"/>
      <c r="R9" s="808" t="s">
        <v>252</v>
      </c>
      <c r="S9" s="1408">
        <f>L92</f>
        <v>42.800000000000004</v>
      </c>
      <c r="T9" s="809">
        <f>P53</f>
        <v>0</v>
      </c>
      <c r="U9" s="809">
        <f>P56</f>
        <v>82.769105054330879</v>
      </c>
      <c r="V9" s="809">
        <f>P59</f>
        <v>18.39372050609979</v>
      </c>
      <c r="W9" s="809">
        <f>P62</f>
        <v>0</v>
      </c>
      <c r="X9" s="809">
        <f>P65</f>
        <v>0</v>
      </c>
      <c r="Y9" s="809">
        <f>P68</f>
        <v>13.937739378196657</v>
      </c>
      <c r="Z9" s="809">
        <f>P71</f>
        <v>0</v>
      </c>
      <c r="AA9" s="809">
        <f>IF('R-Definição'!E121="Novo",P74,(D44+D46)*D89/D40)</f>
        <v>51.359957390985812</v>
      </c>
      <c r="AB9" s="1407"/>
    </row>
    <row r="10" spans="1:28" s="1760" customFormat="1" ht="17.649999999999999" customHeight="1" x14ac:dyDescent="0.25">
      <c r="A10" s="1499"/>
      <c r="B10" s="1804" t="s">
        <v>664</v>
      </c>
      <c r="C10" s="1761" t="s">
        <v>194</v>
      </c>
      <c r="D10" s="1767">
        <f>D45</f>
        <v>0.59642499999999998</v>
      </c>
      <c r="E10" s="1499"/>
      <c r="F10" s="1805" t="str">
        <f>IF(D24="Sim","Custo Total Rota Tecnológica COM Coleta","Custo Total Rota Tecnológica SEM Coleta")</f>
        <v>Custo Total Rota Tecnológica SEM Coleta</v>
      </c>
      <c r="G10" s="1763" t="s">
        <v>243</v>
      </c>
      <c r="H10" s="1768">
        <f>H6+H8+H9</f>
        <v>27.24933376012352</v>
      </c>
      <c r="I10" s="1499"/>
      <c r="J10" s="1499"/>
      <c r="K10" s="1759"/>
      <c r="L10" s="1499"/>
      <c r="M10" s="1499"/>
      <c r="N10" s="1499"/>
      <c r="O10" s="1499"/>
      <c r="P10" s="1499"/>
      <c r="Q10" s="1499"/>
      <c r="R10" s="808" t="s">
        <v>253</v>
      </c>
      <c r="S10" s="1408">
        <v>0</v>
      </c>
      <c r="T10" s="810">
        <f>P52</f>
        <v>0</v>
      </c>
      <c r="U10" s="810">
        <f>P55</f>
        <v>82.50466701901351</v>
      </c>
      <c r="V10" s="810">
        <f>P58</f>
        <v>48.505170967959288</v>
      </c>
      <c r="W10" s="810">
        <f>P61</f>
        <v>0</v>
      </c>
      <c r="X10" s="810">
        <f>P64</f>
        <v>0</v>
      </c>
      <c r="Y10" s="810">
        <f>P67</f>
        <v>31.799519019035188</v>
      </c>
      <c r="Z10" s="810">
        <f>P70</f>
        <v>0</v>
      </c>
      <c r="AA10" s="809">
        <f>IF('R-Definição'!E121="Novo",P73,D89)</f>
        <v>96.270080005154213</v>
      </c>
      <c r="AB10" s="1407"/>
    </row>
    <row r="11" spans="1:28" s="1760" customFormat="1" ht="17.649999999999999" customHeight="1" x14ac:dyDescent="0.25">
      <c r="A11" s="1499"/>
      <c r="B11" s="1805" t="s">
        <v>510</v>
      </c>
      <c r="C11" s="1763" t="s">
        <v>249</v>
      </c>
      <c r="D11" s="1765">
        <f>'R-Fluxo Massa'!AS49*312</f>
        <v>0</v>
      </c>
      <c r="E11" s="1499"/>
      <c r="F11" s="1804" t="s">
        <v>1019</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51.334528479498402</v>
      </c>
      <c r="W11" s="811">
        <f>IF(W12&gt;0,($L45*$D112+$L47*$D111)/(W12*312),0)</f>
        <v>0</v>
      </c>
      <c r="X11" s="811">
        <f>IF(X12&gt;0,($P42*$D114+$P45*$D117)/(X12*312),0)</f>
        <v>0</v>
      </c>
      <c r="Y11" s="811">
        <f>IF(Y12&gt;0,($L48*$D108+$L49*$D109)/(Y12*312),0)</f>
        <v>0</v>
      </c>
      <c r="Z11" s="811">
        <f>IF(Z12&gt;0,($P43*$D114)/(Z12*312),0)</f>
        <v>0</v>
      </c>
      <c r="AA11" s="811">
        <f>IF(AA12&gt;0,($P44*$D114+$P46*$D117)/(AA12*312),0)</f>
        <v>0</v>
      </c>
      <c r="AB11" s="1407"/>
    </row>
    <row r="12" spans="1:28" s="1760" customFormat="1" ht="17.649999999999999" customHeight="1" x14ac:dyDescent="0.25">
      <c r="A12" s="1499"/>
      <c r="B12" s="1804" t="s">
        <v>511</v>
      </c>
      <c r="C12" s="1761" t="s">
        <v>194</v>
      </c>
      <c r="D12" s="1767">
        <f>(D16)/D8</f>
        <v>8.6464214998186184E-2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27.24933376012352</v>
      </c>
      <c r="I12" s="1499"/>
      <c r="J12" s="1499"/>
      <c r="K12" s="1759"/>
      <c r="L12" s="1499"/>
      <c r="M12" s="1499"/>
      <c r="N12" s="1499"/>
      <c r="O12" s="1499"/>
      <c r="P12" s="1499"/>
      <c r="Q12" s="1499"/>
      <c r="R12" s="808" t="s">
        <v>254</v>
      </c>
      <c r="S12" s="1408">
        <f>D38</f>
        <v>467.94871794871796</v>
      </c>
      <c r="T12" s="809">
        <f>$H52/312</f>
        <v>0</v>
      </c>
      <c r="U12" s="809">
        <f>$H55/312</f>
        <v>469.44855358316909</v>
      </c>
      <c r="V12" s="809">
        <f>$H58/312</f>
        <v>177.45155325443784</v>
      </c>
      <c r="W12" s="809">
        <f>$H61/312</f>
        <v>0</v>
      </c>
      <c r="X12" s="809">
        <f>$H64/312</f>
        <v>0</v>
      </c>
      <c r="Y12" s="809">
        <f>$H67/312</f>
        <v>205.10207306048656</v>
      </c>
      <c r="Z12" s="809">
        <f>$H70/312</f>
        <v>0</v>
      </c>
      <c r="AA12" s="809">
        <f>(D44+D46)/312</f>
        <v>188.85240384615383</v>
      </c>
      <c r="AB12" s="1407"/>
    </row>
    <row r="13" spans="1:28" s="1760" customFormat="1" ht="17.649999999999999" customHeight="1" thickBot="1" x14ac:dyDescent="0.3">
      <c r="A13" s="1499"/>
      <c r="B13" s="1806" t="s">
        <v>843</v>
      </c>
      <c r="C13" s="1769" t="s">
        <v>194</v>
      </c>
      <c r="D13" s="1770">
        <f>D16/((SUM('R-Entrada'!G28:G33))*312)</f>
        <v>0.2710476959190789</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186.63927232961316</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12623.775389735183</v>
      </c>
      <c r="E16" s="61"/>
      <c r="F16" s="1804" t="s">
        <v>516</v>
      </c>
      <c r="G16" s="1774" t="s">
        <v>255</v>
      </c>
      <c r="H16" s="1758">
        <f>K78</f>
        <v>141.44359461364644</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0.35406139156348421</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31120.970037603587</v>
      </c>
      <c r="E18" s="61"/>
      <c r="F18" s="1805" t="s">
        <v>519</v>
      </c>
      <c r="G18" s="1772" t="s">
        <v>256</v>
      </c>
      <c r="H18" s="1765">
        <f>H24*1000000/D40</f>
        <v>1406.7314318742813</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28421.302460526043</v>
      </c>
      <c r="E19" s="61"/>
      <c r="F19" s="1805" t="str">
        <f>J77</f>
        <v>Reinvestimento Total Rota (cada 5 anos)</v>
      </c>
      <c r="G19" s="1776" t="s">
        <v>255</v>
      </c>
      <c r="H19" s="1777">
        <f>K77</f>
        <v>3.1769560393322624</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0</v>
      </c>
      <c r="E20" s="61"/>
      <c r="F20" s="1807" t="s">
        <v>522</v>
      </c>
      <c r="G20" s="1778" t="s">
        <v>255</v>
      </c>
      <c r="H20" s="1779">
        <f>K75</f>
        <v>23.82885837981302</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205.38278905364507</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1015</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35.234385344353349</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4.6185277824406512E-14</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1016</v>
      </c>
      <c r="C28" s="1776" t="s">
        <v>243</v>
      </c>
      <c r="D28" s="1789">
        <v>1</v>
      </c>
      <c r="E28" s="1499"/>
      <c r="F28" s="1805" t="str">
        <f>'C-FCL Real'!K27</f>
        <v>Índice de Retorno do Inv.: TIR</v>
      </c>
      <c r="G28" s="1776" t="s">
        <v>194</v>
      </c>
      <c r="H28" s="1790">
        <f>'C-FCL Real'!H9</f>
        <v>0.26309959438654507</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1017</v>
      </c>
      <c r="C29" s="1776" t="s">
        <v>255</v>
      </c>
      <c r="D29" s="1789">
        <v>0</v>
      </c>
      <c r="E29" s="1499"/>
      <c r="F29" s="1813" t="str">
        <f>'C-FCL Real'!O26</f>
        <v>Taxa de Lucratividade do Investimento</v>
      </c>
      <c r="G29" s="1791" t="s">
        <v>194</v>
      </c>
      <c r="H29" s="1792">
        <f>'C-FCL Real'!H14</f>
        <v>1.0000000000000002</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1018</v>
      </c>
      <c r="C30" s="1778" t="s">
        <v>255</v>
      </c>
      <c r="D30" s="1793">
        <v>0</v>
      </c>
      <c r="E30" s="1499"/>
      <c r="F30" s="1814" t="s">
        <v>861</v>
      </c>
      <c r="G30" s="1802" t="s">
        <v>262</v>
      </c>
      <c r="H30" s="1803">
        <f>D32*(D8*H33+D31*312*H31)/1000000000</f>
        <v>1.3641255016387215</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1011</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96.270080005154213</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1020</v>
      </c>
      <c r="G32" s="1750" t="s">
        <v>1013</v>
      </c>
      <c r="H32" s="1819">
        <f>'C-Calc Tarifa'!M32</f>
        <v>20.448793800621704</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1012</v>
      </c>
      <c r="C33" s="1751" t="s">
        <v>246</v>
      </c>
      <c r="D33" s="1752">
        <v>237.54494967426146</v>
      </c>
      <c r="E33" s="885"/>
      <c r="F33" s="1818" t="s">
        <v>1014</v>
      </c>
      <c r="G33" s="1796" t="s">
        <v>246</v>
      </c>
      <c r="H33" s="1797">
        <v>254.60848243040007</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12623.775389735183</v>
      </c>
      <c r="I36" s="139"/>
      <c r="J36" s="1313" t="s">
        <v>806</v>
      </c>
      <c r="K36" s="246" t="s">
        <v>249</v>
      </c>
      <c r="L36" s="1324">
        <f>('R-Resumo Bal. Massa'!F58+'R-Resumo Bal. Massa'!G58)*312*D48/D8</f>
        <v>5184.0582321483053</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31120.970037603587</v>
      </c>
      <c r="I37" s="139"/>
      <c r="J37" s="1313" t="s">
        <v>807</v>
      </c>
      <c r="K37" s="1276" t="s">
        <v>249</v>
      </c>
      <c r="L37" s="1324">
        <f>('R-Resumo Bal. Massa'!F59+'R-Resumo Bal. Massa'!G59)*312*D48/D8</f>
        <v>3521.9937607725124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1820.3563257925346</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28421.302460526043</v>
      </c>
      <c r="I39" s="139"/>
      <c r="J39" s="1313" t="s">
        <v>809</v>
      </c>
      <c r="K39" s="1276" t="s">
        <v>249</v>
      </c>
      <c r="L39" s="1324">
        <f>('R-Resumo Bal. Massa'!F61+'R-Resumo Bal. Massa'!G61)*312*D48/D8</f>
        <v>949.75112650045298</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237.43778162511325</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910.17816289626728</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58921.95</v>
      </c>
      <c r="E44" s="139"/>
      <c r="F44" s="1313"/>
      <c r="G44" s="1276"/>
      <c r="H44" s="1324"/>
      <c r="I44" s="139"/>
      <c r="J44" s="1313" t="s">
        <v>814</v>
      </c>
      <c r="K44" s="246" t="s">
        <v>249</v>
      </c>
      <c r="L44" s="1324">
        <f>IF('R-Definição'!I51&gt;0,('R-Definição'!I49-'R-Definição'!O53-'R-Definição'!O55)*'R-Definição'!L50/100*312,0)*D48/D8</f>
        <v>28421.302460526043</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0.59642499999999998</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31120.970037603587</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Sim</v>
      </c>
      <c r="H58" s="899">
        <f>IF('C-Produção CDR-TM'!D2&gt;0,'C-Produção CDR-TM'!H2,0)</f>
        <v>55364.88461538461</v>
      </c>
      <c r="I58" s="609"/>
      <c r="J58" s="899" t="s">
        <v>543</v>
      </c>
      <c r="K58" s="1409">
        <f>IF('C-Produção CDR-TM'!$E$7="SIM",'C-Produção CDR-TM'!$E$19,IF('C-Produção CDR-TM'!$I$7="SIM",'C-Produção CDR-TM'!$I$19,IF('C-Produção CDR-TM'!$M$7="SIM",'C-Produção CDR-TM'!$M$19,IF('C-Produção CDR-TM'!$Q$7="SIM",'C-Produção CDR-TM'!$Q$19,IF('C-Produção CDR-TM'!$U$7="SIM",'C-Produção CDR-TM'!$U$19,0)))))</f>
        <v>24.477469026953049</v>
      </c>
      <c r="L58" s="899">
        <f>IF('C-Produção CDR-TM'!$E$7="SIM",'C-Produção CDR-TM'!$E$20,IF('C-Produção CDR-TM'!$I$7="SIM",'C-Produção CDR-TM'!$I$20,IF('C-Produção CDR-TM'!$M$7="SIM",'C-Produção CDR-TM'!$M$20,IF('C-Produção CDR-TM'!$Q$7="SIM",'C-Produção CDR-TM'!$Q$20,IF('C-Produção CDR-TM'!$U$7="SIM",'C-Produção CDR-TM'!$U$20,0)))))</f>
        <v>442.1118042057895</v>
      </c>
      <c r="M58" s="133"/>
      <c r="N58" s="899" t="s">
        <v>543</v>
      </c>
      <c r="O58" s="1409">
        <f>IF('C-Produção CDR-TM'!$E$7="SIM",'C-Produção CDR-TM'!$E$43,IF('C-Produção CDR-TM'!$I$7="SIM",'C-Produção CDR-TM'!$I$43,IF('C-Produção CDR-TM'!$M$7="SIM",'C-Produção CDR-TM'!$M$43,IF('C-Produção CDR-TM'!$Q$7="SIM",'C-Produção CDR-TM'!$Q$43,IF('C-Produção CDR-TM'!$U$7="SIM",'C-Produção CDR-TM'!$U$43,0)))))</f>
        <v>2.6854831938905694</v>
      </c>
      <c r="P58" s="899">
        <f>IF('C-Produção CDR-TM'!$E$7="SIM",'C-Produção CDR-TM'!$E$42,IF('C-Produção CDR-TM'!$I$7="SIM",'C-Produção CDR-TM'!$I$42,IF('C-Produção CDR-TM'!$M$7="SIM",'C-Produção CDR-TM'!$M$42,IF('C-Produção CDR-TM'!$Q$7="SIM",'C-Produção CDR-TM'!$Q$42,IF('C-Produção CDR-TM'!$U$7="SIM",'C-Produção CDR-TM'!$U$42,0)))))</f>
        <v>48.505170967959288</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167.65389744488391</v>
      </c>
      <c r="M59" s="133"/>
      <c r="N59" s="1313" t="s">
        <v>274</v>
      </c>
      <c r="O59" s="253">
        <f>IF(H58&gt;0,((L44*D112)+(L46*D111))/$D$40,0)</f>
        <v>19.466645520908248</v>
      </c>
      <c r="P59" s="1297">
        <f>IF(O58&gt;0,O58*1000000/$D$40,0)</f>
        <v>18.39372050609979</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f>IF('C-Produção CDR-TM'!$E$7="SIM",'C-Produção CDR-TM'!$D$17,IF('C-Produção CDR-TM'!$I$7="SIM",'C-Produção CDR-TM'!$H$17,IF('C-Produção CDR-TM'!$M$7="SIM",'C-Produção CDR-TM'!$L$17,IF('C-Produção CDR-TM'!$Q$7="SIM",'C-Produção CDR-TM'!$P$17,IF('C-Produção CDR-TM'!$U$7="SIM",'C-Produção CDR-TM'!$T$17,"0")))))</f>
        <v>2900</v>
      </c>
      <c r="H60" s="1351"/>
      <c r="I60" s="609"/>
      <c r="J60" s="1342" t="s">
        <v>275</v>
      </c>
      <c r="K60" s="246">
        <f>IF('C-Produção CDR-TM'!$E$7="SIM",'C-Produção CDR-TM'!$E$23,IF('C-Produção CDR-TM'!$I$7="SIM",'C-Produção CDR-TM'!$I$23,IF('C-Produção CDR-TM'!$M$7="SIM",'C-Produção CDR-TM'!$M$23,IF('C-Produção CDR-TM'!$Q$7="SIM",'C-Produção CDR-TM'!$Q$23,IF('C-Produção CDR-TM'!$U$7="SIM",'C-Produção CDR-TM'!$U$23,"0")))))</f>
        <v>0.51418964057962946</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0.4224</v>
      </c>
      <c r="P60" s="1318">
        <f>IF('C-Produção CDR-TM'!$E$7="SIM",'C-Produção CDR-TM'!$E$45,IF('C-Produção CDR-TM'!$I$7="SIM",'C-Produção CDR-TM'!$I$45,IF('C-Produção CDR-TM'!$M$7="SIM",'C-Produção CDR-TM'!$M$45,IF('C-Produção CDR-TM'!$Q$7="SIM",'C-Produção CDR-TM'!$Q$45,IF('C-Produção CDR-TM'!$U$7="SIM",'C-Produção CDR-TM'!$U$45,0)))))</f>
        <v>40.875786333016421</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06" t="s">
        <v>281</v>
      </c>
      <c r="D66" s="2007"/>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Sim</v>
      </c>
      <c r="H67" s="899">
        <f>IF('C-Compostagem'!D2&gt;0,'C-Compostagem'!H2,0)</f>
        <v>63991.846794871803</v>
      </c>
      <c r="I67" s="609"/>
      <c r="J67" s="899" t="s">
        <v>131</v>
      </c>
      <c r="K67" s="1409">
        <f>IF('C-Compostagem'!$E$7="SIM",'C-Compostagem'!$E$19,IF('C-Compostagem'!$I$7="SIM",'C-Compostagem'!$I$19,IF('C-Compostagem'!$M$7="SIM",'C-Compostagem'!$M$19,IF('C-Compostagem'!$Q$7="SIM",'C-Compostagem'!$Q$19,IF('C-Compostagem'!$U$7="SIM",'C-Compostagem'!$U$19,0)))))</f>
        <v>19.483845674225673</v>
      </c>
      <c r="L67" s="899">
        <f>IF('C-Compostagem'!$E$7="SIM",'C-Compostagem'!$E$20,IF('C-Compostagem'!$I$7="SIM",'C-Compostagem'!$I$20,IF('C-Compostagem'!$M$7="SIM",'C-Compostagem'!$M$20,IF('C-Compostagem'!$Q$7="SIM",'C-Compostagem'!$Q$20,IF('C-Compostagem'!$U$7="SIM",'C-Compostagem'!$U$20,0)))))</f>
        <v>304.47387675310966</v>
      </c>
      <c r="M67" s="255"/>
      <c r="N67" s="899" t="s">
        <v>131</v>
      </c>
      <c r="O67" s="1409">
        <f>IF('C-Compostagem'!$E$7="SIM",'C-Compostagem'!$E$43,IF('C-Compostagem'!$I$7="SIM",'C-Compostagem'!$I$43,IF('C-Compostagem'!$M$7="SIM",'C-Compostagem'!$M$43,IF('C-Compostagem'!$Q$7="SIM",'C-Compostagem'!$Q$43,IF('C-Compostagem'!$U$7="SIM",'C-Compostagem'!$U$43,0)))))</f>
        <v>2.0349099492167118</v>
      </c>
      <c r="P67" s="899">
        <f>IF('C-Compostagem'!$E$7="SIM",'C-Compostagem'!$E$42,IF('C-Compostagem'!$I$7="SIM",'C-Compostagem'!$I$42,IF('C-Compostagem'!$M$7="SIM",'C-Compostagem'!$M$42,IF('C-Compostagem'!$Q$7="SIM",'C-Compostagem'!$Q$42,IF('C-Compostagem'!$U$7="SIM",'C-Compostagem'!$U$42,0)))))</f>
        <v>31.799519019035188</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133.450997768669</v>
      </c>
      <c r="M68" s="256"/>
      <c r="N68" s="1313" t="s">
        <v>274</v>
      </c>
      <c r="O68" s="253">
        <f>IF(H67&gt;0,((L48*D108)+(L49*D109))/$D$40,0)</f>
        <v>0</v>
      </c>
      <c r="P68" s="1299">
        <f>IF(O67&gt;0,O67*1000000/$D$40,0)</f>
        <v>13.937739378196657</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f>IF('C-Compostagem'!$E$7="SIM",'C-Compostagem'!$D$17,IF('C-Compostagem'!$I$7="SIM",'C-Compostagem'!$H$17,IF('C-Compostagem'!$M$7="SIM",'C-Compostagem'!$L$17,IF('C-Compostagem'!$Q$7="SIM",'C-Compostagem'!$P$17,IF('C-Compostagem'!$U$7="SIM",'C-Compostagem'!$T$17,"0")))))</f>
        <v>17012.398696278655</v>
      </c>
      <c r="H69" s="1354"/>
      <c r="I69" s="693"/>
      <c r="J69" s="1342" t="s">
        <v>275</v>
      </c>
      <c r="K69" s="246">
        <f>IF('C-Compostagem'!$E$7="SIM",'C-Compostagem'!$E$23,IF('C-Compostagem'!$I$7="SIM",'C-Compostagem'!$I$23,IF('C-Compostagem'!$M$7="SIM",'C-Compostagem'!$M$23,IF('C-Compostagem'!$Q$7="SIM",'C-Compostagem'!$Q$23,IF('C-Compostagem'!$U$7="SIM",'C-Compostagem'!$U$23,"0")))))</f>
        <v>1.1135735401110716</v>
      </c>
      <c r="L69" s="1344"/>
      <c r="M69" s="256"/>
      <c r="N69" s="1313" t="s">
        <v>276</v>
      </c>
      <c r="O69" s="253">
        <f>IF('C-Compostagem'!$E$7="SIM",'C-Compostagem'!$E$44,IF('C-Compostagem'!$I$7="SIM",'C-Compostagem'!$I$44,IF('C-Compostagem'!$M$7="SIM",'C-Compostagem'!$M$44,IF('C-Compostagem'!$Q$7="SIM",'C-Compostagem'!$Q$44,IF('C-Compostagem'!$U$7="SIM",'C-Compostagem'!$U$44,0)))))</f>
        <v>0.58606124676923077</v>
      </c>
      <c r="P69" s="1324">
        <f>IF('C-Compostagem'!$E$7="SIM",'C-Compostagem'!$E$45,IF('C-Compostagem'!$I$7="SIM",'C-Compostagem'!$I$45,IF('C-Compostagem'!$M$7="SIM",'C-Compostagem'!$M$45,IF('C-Compostagem'!$Q$7="SIM",'C-Compostagem'!$Q$45,IF('C-Compostagem'!$U$7="SIM",'C-Compostagem'!$U$45,0)))))</f>
        <v>22.641145317962433</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77890.802403846174</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19.625089710983175</v>
      </c>
      <c r="L73" s="899">
        <f>IF('C-Aterro Sanitário'!$E$7="SIM",'C-Aterro Sanitário'!$E$19,IF('C-Aterro Sanitário'!$I$7="SIM",'C-Aterro Sanitário'!$I$19,IF('C-Aterro Sanitário'!$M$7="SIM",'C-Aterro Sanitário'!$M$19,IF('C-Aterro Sanitário'!$Q$7="SIM",'C-Aterro Sanitário'!$Q$19,IF('C-Aterro Sanitário'!$U$7="SIM",'C-Aterro Sanitário'!$U$19,0)))))</f>
        <v>251.95644550214709</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7.4985537790839292</v>
      </c>
      <c r="P73" s="899">
        <f>IF('C-Aterro Sanitário'!$E$7="SIM",'C-Aterro Sanitário'!$E$45,IF('C-Aterro Sanitário'!$I$7="SIM",'C-Aterro Sanitário'!$I$45,IF('C-Aterro Sanitário'!$M$7="SIM",'C-Aterro Sanitário'!$M$45,IF('C-Aterro Sanitário'!$Q$7="SIM",'C-Aterro Sanitário'!$Q$45,IF('C-Aterro Sanitário'!$U$7="SIM",'C-Aterro Sanitário'!$U$45,0)))))</f>
        <v>96.270080005154213</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134.41842267796696</v>
      </c>
      <c r="M74" s="256"/>
      <c r="N74" s="1313" t="s">
        <v>274</v>
      </c>
      <c r="O74" s="253">
        <f>IF(H73&gt;0,((P44*D114+P46*D117))/$D$40,0)</f>
        <v>0</v>
      </c>
      <c r="P74" s="1299">
        <f>IF(O73&gt;0,O73*1000000/$D$40,0)</f>
        <v>51.359957390985812</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324">
        <f>IF(K73&gt;0,K75*1000000/(H73*20),0)</f>
        <v>15.296323599457729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2.1593616708749361</v>
      </c>
      <c r="P75" s="1324">
        <f>IF('C-Aterro Sanitário'!$E$7="SIM",'C-Aterro Sanitário'!$E$48,IF('C-Aterro Sanitário'!$I$7="SIM",'C-Aterro Sanitário'!$I$48,IF('C-Aterro Sanitário'!$M$7="SIM",'C-Aterro Sanitário'!$M$48,IF('C-Aterro Sanitário'!$Q$7="SIM",'C-Aterro Sanitário'!$Q$48,IF('C-Aterro Sanitário'!$U$7="SIM",'C-Aterro Sanitário'!$U$48,0)))))</f>
        <v>68.547144764621763</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0.35406139156348421</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34154.172050210516</v>
      </c>
      <c r="H77" s="1354"/>
      <c r="I77" s="693"/>
      <c r="J77" s="1345" t="s">
        <v>288</v>
      </c>
      <c r="K77" s="254">
        <f>K54+K57+K60+K63+K66+K69+K72</f>
        <v>3.1769560393322624</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1024</v>
      </c>
      <c r="C78" s="698" t="s">
        <v>1023</v>
      </c>
      <c r="D78" s="1827">
        <v>2.2000000000000002</v>
      </c>
      <c r="E78" s="133"/>
      <c r="F78" s="2004" t="s">
        <v>566</v>
      </c>
      <c r="G78" s="2005"/>
      <c r="H78" s="1334">
        <f>'R-Resumo Bal. Massa'!D16*312</f>
        <v>146000.00000000003</v>
      </c>
      <c r="I78" s="609"/>
      <c r="J78" s="1332" t="s">
        <v>290</v>
      </c>
      <c r="K78" s="1333">
        <f>K52+K55+K58+K61+K64+K67+K70+K73</f>
        <v>141.44359461364644</v>
      </c>
      <c r="L78" s="1334">
        <f>K78*1000000/H78</f>
        <v>968.7917439290851</v>
      </c>
      <c r="M78" s="255"/>
      <c r="N78" s="1332" t="s">
        <v>548</v>
      </c>
      <c r="O78" s="1333">
        <f>O52+O55+O58+O61+O64+O67+O70+O73</f>
        <v>24.303236260123519</v>
      </c>
      <c r="P78" s="1334">
        <f>O78*1000000/H78</f>
        <v>166.46052232961313</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7.4741456359225236</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94.488392909522702</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2.8421302460526041</v>
      </c>
      <c r="I83" s="139"/>
      <c r="J83" s="1313" t="s">
        <v>577</v>
      </c>
      <c r="K83" s="457" t="s">
        <v>243</v>
      </c>
      <c r="L83" s="1336">
        <f>D83*D42/1000000</f>
        <v>0</v>
      </c>
      <c r="M83" s="133"/>
      <c r="N83" s="1313" t="s">
        <v>894</v>
      </c>
      <c r="O83" s="455" t="s">
        <v>295</v>
      </c>
      <c r="P83" s="1372">
        <f>IF(O67&lt;&gt;0,O67*1000000/(H37+H38),0)</f>
        <v>65.387099012592543</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957.26428622600906</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10.316275881975127</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70.659423849144702</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2.4100020263414694</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1997" t="s">
        <v>794</v>
      </c>
      <c r="C95" s="1998"/>
      <c r="D95" s="1998"/>
      <c r="E95" s="1998"/>
      <c r="F95" s="1998"/>
      <c r="G95" s="1998"/>
      <c r="H95" s="1998"/>
      <c r="I95" s="1998"/>
      <c r="J95" s="1998"/>
      <c r="K95" s="1998"/>
      <c r="L95" s="1999"/>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27.24933376012352</v>
      </c>
      <c r="I98" s="139"/>
      <c r="J98" s="1260" t="s">
        <v>583</v>
      </c>
      <c r="K98" s="210" t="s">
        <v>243</v>
      </c>
      <c r="L98" s="1365">
        <f>H98+L91</f>
        <v>33.498133760123523</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186.63927232961316</v>
      </c>
      <c r="I99" s="139"/>
      <c r="J99" s="1313" t="s">
        <v>584</v>
      </c>
      <c r="K99" s="457" t="s">
        <v>293</v>
      </c>
      <c r="L99" s="1370">
        <f>L98*1000000/D40</f>
        <v>229.43927232961315</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6.3657612814615341</v>
      </c>
      <c r="I100" s="139"/>
      <c r="J100" s="1315" t="s">
        <v>735</v>
      </c>
      <c r="K100" s="1301" t="s">
        <v>250</v>
      </c>
      <c r="L100" s="1371">
        <f>L99*($D$7*30/$D$6)</f>
        <v>7.8255536362312572</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11" t="s">
        <v>877</v>
      </c>
      <c r="C2" s="2011"/>
      <c r="D2" s="2011"/>
      <c r="E2" s="2011"/>
      <c r="F2" s="2011"/>
      <c r="G2" s="2011"/>
      <c r="H2" s="2011"/>
      <c r="I2" s="2011"/>
      <c r="J2" s="2011"/>
      <c r="K2" s="2011"/>
      <c r="L2" s="2011"/>
      <c r="M2" s="2011"/>
      <c r="N2" s="408"/>
      <c r="O2" s="2010" t="s">
        <v>595</v>
      </c>
      <c r="P2" s="2010"/>
      <c r="Q2" s="2010"/>
      <c r="R2" s="2010"/>
      <c r="S2" s="2010"/>
      <c r="T2" s="2010"/>
      <c r="U2" s="2010"/>
      <c r="V2" s="2010"/>
      <c r="W2" s="2010"/>
      <c r="X2" s="2010"/>
      <c r="Y2" s="2010"/>
      <c r="Z2" s="2010"/>
      <c r="AA2" s="2010"/>
      <c r="AB2" s="423"/>
    </row>
    <row r="3" spans="1:28" s="731" customFormat="1" ht="17.649999999999999" customHeight="1" x14ac:dyDescent="0.25">
      <c r="A3" s="729"/>
      <c r="B3" s="2011"/>
      <c r="C3" s="2011"/>
      <c r="D3" s="2011"/>
      <c r="E3" s="2011"/>
      <c r="F3" s="2011"/>
      <c r="G3" s="2011"/>
      <c r="H3" s="2011"/>
      <c r="I3" s="2011"/>
      <c r="J3" s="2011"/>
      <c r="K3" s="2011"/>
      <c r="L3" s="2011"/>
      <c r="M3" s="2011"/>
      <c r="N3" s="730"/>
      <c r="O3" s="2010"/>
      <c r="P3" s="2010"/>
      <c r="Q3" s="2010"/>
      <c r="R3" s="2010"/>
      <c r="S3" s="2010"/>
      <c r="T3" s="2010"/>
      <c r="U3" s="2010"/>
      <c r="V3" s="2010"/>
      <c r="W3" s="2010"/>
      <c r="X3" s="2010"/>
      <c r="Y3" s="2010"/>
      <c r="Z3" s="2010"/>
      <c r="AA3" s="2010"/>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64" t="s">
        <v>302</v>
      </c>
      <c r="K5" s="2062" t="s">
        <v>303</v>
      </c>
      <c r="L5" s="408"/>
      <c r="M5" s="409"/>
      <c r="N5" s="408"/>
      <c r="O5" s="2018" t="s">
        <v>785</v>
      </c>
      <c r="P5" s="408"/>
      <c r="Q5" s="2018" t="s">
        <v>786</v>
      </c>
      <c r="R5" s="408"/>
      <c r="S5" s="2018" t="s">
        <v>787</v>
      </c>
      <c r="T5" s="408"/>
      <c r="U5" s="2018" t="s">
        <v>788</v>
      </c>
      <c r="V5" s="408"/>
      <c r="W5" s="2018" t="s">
        <v>789</v>
      </c>
      <c r="X5" s="408"/>
      <c r="Y5" s="2018" t="s">
        <v>795</v>
      </c>
      <c r="Z5" s="408"/>
      <c r="AA5" s="408"/>
      <c r="AB5" s="423"/>
    </row>
    <row r="6" spans="1:28" s="237" customFormat="1" ht="19.899999999999999" hidden="1" customHeight="1" outlineLevel="1" x14ac:dyDescent="0.25">
      <c r="A6" s="408"/>
      <c r="B6" s="1466" t="s">
        <v>596</v>
      </c>
      <c r="C6" s="1427" t="s">
        <v>243</v>
      </c>
      <c r="D6" s="1442">
        <f>D7*D8/1000000</f>
        <v>37.172838434838411</v>
      </c>
      <c r="E6" s="413"/>
      <c r="F6" s="1462" t="s">
        <v>879</v>
      </c>
      <c r="G6" s="1414">
        <f>J7*(1-K7)</f>
        <v>109759.20000000001</v>
      </c>
      <c r="H6" s="1456">
        <f>G6/$G$11</f>
        <v>0.66654521075030615</v>
      </c>
      <c r="I6" s="408"/>
      <c r="J6" s="2065"/>
      <c r="K6" s="2063"/>
      <c r="L6" s="408"/>
      <c r="M6" s="418"/>
      <c r="N6" s="410"/>
      <c r="O6" s="2019"/>
      <c r="P6" s="408"/>
      <c r="Q6" s="2019"/>
      <c r="R6" s="408"/>
      <c r="S6" s="2019"/>
      <c r="T6" s="408"/>
      <c r="U6" s="2019"/>
      <c r="V6" s="408"/>
      <c r="W6" s="2019"/>
      <c r="X6" s="408"/>
      <c r="Y6" s="2019"/>
      <c r="Z6" s="408"/>
      <c r="AA6" s="408"/>
      <c r="AB6" s="423"/>
    </row>
    <row r="7" spans="1:28" s="237" customFormat="1" ht="19.899999999999999" hidden="1" customHeight="1" outlineLevel="1" x14ac:dyDescent="0.25">
      <c r="A7" s="408"/>
      <c r="B7" s="1462" t="s">
        <v>597</v>
      </c>
      <c r="C7" s="1425" t="s">
        <v>293</v>
      </c>
      <c r="D7" s="1443">
        <f>'R&amp;C-Painel de Controle'!H33</f>
        <v>254.60848243040007</v>
      </c>
      <c r="E7" s="413"/>
      <c r="F7" s="1462" t="s">
        <v>880</v>
      </c>
      <c r="G7" s="1414">
        <f>J7*K7</f>
        <v>27439.800000000003</v>
      </c>
      <c r="H7" s="1456">
        <f>G7/$G$11</f>
        <v>0.16663630268757654</v>
      </c>
      <c r="I7" s="408"/>
      <c r="J7" s="2022">
        <f>'R&amp;C-Painel de Controle'!D6/3</f>
        <v>137199</v>
      </c>
      <c r="K7" s="2020">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023"/>
      <c r="K8" s="2021"/>
      <c r="L8" s="408"/>
      <c r="M8" s="418"/>
      <c r="N8" s="410"/>
      <c r="O8" s="1293">
        <f>(O12-O10)/O10</f>
        <v>1.2145591636766743E-6</v>
      </c>
      <c r="P8" s="410"/>
      <c r="Q8" s="1293">
        <f>(Q12-Q10)/Q10</f>
        <v>-5.8327040398666727E-3</v>
      </c>
      <c r="R8" s="410"/>
      <c r="S8" s="1293">
        <f>(S12-S10)/S10</f>
        <v>-5.832704039866644E-3</v>
      </c>
      <c r="T8" s="408"/>
      <c r="U8" s="1293">
        <f>(U12-U10)/U10</f>
        <v>2.2914268472023346E-2</v>
      </c>
      <c r="V8" s="408"/>
      <c r="W8" s="1293">
        <f>(W12-W10)/W10</f>
        <v>2.2914268472023346E-2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40.407340039149787</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1.6185246740523407</v>
      </c>
      <c r="E12" s="408"/>
      <c r="F12" s="408"/>
      <c r="G12" s="408"/>
      <c r="H12" s="409"/>
      <c r="I12" s="408"/>
      <c r="J12" s="409"/>
      <c r="K12" s="409"/>
      <c r="L12" s="409"/>
      <c r="M12" s="409"/>
      <c r="N12" s="408"/>
      <c r="O12" s="240">
        <f>O33</f>
        <v>164669</v>
      </c>
      <c r="P12" s="410"/>
      <c r="Q12" s="251">
        <f>Q33</f>
        <v>40.171655983663172</v>
      </c>
      <c r="R12" s="410"/>
      <c r="S12" s="240">
        <f>S33*(1+$D$17+$D$18+$D$19)</f>
        <v>145148.42521017947</v>
      </c>
      <c r="T12" s="408"/>
      <c r="U12" s="240">
        <f>U33</f>
        <v>23493387.184143592</v>
      </c>
      <c r="V12" s="408"/>
      <c r="W12" s="240">
        <f>W33</f>
        <v>23493387.184143592</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12" t="s">
        <v>884</v>
      </c>
      <c r="G15" s="2014" t="s">
        <v>194</v>
      </c>
      <c r="H15" s="2016">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13"/>
      <c r="G16" s="2015"/>
      <c r="H16" s="2017"/>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40.407340039149787</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1.7593565522533199</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53" t="s">
        <v>847</v>
      </c>
      <c r="G23" s="2054"/>
      <c r="H23" s="2055"/>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245.38552560746047</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40.407340039149787</v>
      </c>
      <c r="E25" s="408"/>
      <c r="F25" s="1465" t="s">
        <v>886</v>
      </c>
      <c r="G25" s="1447" t="s">
        <v>310</v>
      </c>
      <c r="H25" s="1461">
        <f>H24/12</f>
        <v>20.448793800621704</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1.7593565522533199</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44" t="s">
        <v>870</v>
      </c>
      <c r="C29" s="2045"/>
      <c r="D29" s="2045"/>
      <c r="E29" s="2046"/>
      <c r="F29" s="408"/>
      <c r="G29" s="408"/>
      <c r="H29" s="409"/>
      <c r="I29" s="408"/>
      <c r="J29" s="409"/>
      <c r="K29" s="2026" t="s">
        <v>311</v>
      </c>
      <c r="L29" s="2027"/>
      <c r="M29" s="2028"/>
      <c r="N29" s="408"/>
      <c r="O29" s="2049" t="s">
        <v>708</v>
      </c>
      <c r="P29" s="2050"/>
      <c r="Q29" s="2050"/>
      <c r="R29" s="2050"/>
      <c r="S29" s="2050"/>
      <c r="T29" s="2050"/>
      <c r="U29" s="2050"/>
      <c r="V29" s="2050"/>
      <c r="W29" s="2050"/>
      <c r="X29" s="2050"/>
      <c r="Y29" s="2050"/>
      <c r="Z29" s="2050"/>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66" t="s">
        <v>871</v>
      </c>
      <c r="C31" s="2067"/>
      <c r="D31" s="2067"/>
      <c r="E31" s="2067"/>
      <c r="F31" s="2067"/>
      <c r="G31" s="2067"/>
      <c r="H31" s="2067"/>
      <c r="I31" s="2067"/>
      <c r="J31" s="2067"/>
      <c r="K31" s="2067"/>
      <c r="L31" s="1415" t="s">
        <v>312</v>
      </c>
      <c r="M31" s="1415" t="s">
        <v>313</v>
      </c>
      <c r="N31" s="408"/>
      <c r="O31" s="2024" t="s">
        <v>601</v>
      </c>
      <c r="P31" s="408"/>
      <c r="Q31" s="2024" t="s">
        <v>314</v>
      </c>
      <c r="R31" s="408"/>
      <c r="S31" s="2024" t="s">
        <v>602</v>
      </c>
      <c r="T31" s="408"/>
      <c r="U31" s="2024" t="s">
        <v>603</v>
      </c>
      <c r="V31" s="408"/>
      <c r="W31" s="2024" t="s">
        <v>603</v>
      </c>
      <c r="X31" s="408"/>
      <c r="Y31" s="2024" t="s">
        <v>414</v>
      </c>
      <c r="Z31" s="408"/>
      <c r="AA31" s="408"/>
      <c r="AB31" s="423"/>
    </row>
    <row r="32" spans="1:28" s="237" customFormat="1" ht="19.899999999999999" customHeight="1" x14ac:dyDescent="0.25">
      <c r="A32" s="408"/>
      <c r="B32" s="2068"/>
      <c r="C32" s="2067"/>
      <c r="D32" s="2067"/>
      <c r="E32" s="2067"/>
      <c r="F32" s="2067"/>
      <c r="G32" s="2067"/>
      <c r="H32" s="2067"/>
      <c r="I32" s="2067"/>
      <c r="J32" s="2067"/>
      <c r="K32" s="2067"/>
      <c r="L32" s="1416">
        <f>H24</f>
        <v>245.38552560746047</v>
      </c>
      <c r="M32" s="1417">
        <f>H25</f>
        <v>20.448793800621704</v>
      </c>
      <c r="N32" s="411"/>
      <c r="O32" s="1916"/>
      <c r="P32" s="411"/>
      <c r="Q32" s="1916"/>
      <c r="R32" s="411"/>
      <c r="S32" s="1916"/>
      <c r="T32" s="408"/>
      <c r="U32" s="1916"/>
      <c r="V32" s="408"/>
      <c r="W32" s="1916"/>
      <c r="X32" s="408"/>
      <c r="Y32" s="2025"/>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40.171655983663172</v>
      </c>
      <c r="R33" s="408"/>
      <c r="S33" s="240">
        <f>12*S34</f>
        <v>133777.35042412856</v>
      </c>
      <c r="T33" s="408" t="s">
        <v>315</v>
      </c>
      <c r="U33" s="240">
        <f>12*U34</f>
        <v>23493387.184143592</v>
      </c>
      <c r="V33" s="408" t="s">
        <v>316</v>
      </c>
      <c r="W33" s="240">
        <f>12*W34</f>
        <v>23493387.184143592</v>
      </c>
      <c r="X33" s="408" t="s">
        <v>316</v>
      </c>
      <c r="Y33" s="2051">
        <v>0.1</v>
      </c>
      <c r="Z33" s="408"/>
      <c r="AA33" s="408"/>
      <c r="AB33" s="423"/>
    </row>
    <row r="34" spans="1:28" s="237" customFormat="1" ht="34.9" hidden="1" customHeight="1" outlineLevel="1" x14ac:dyDescent="0.25">
      <c r="A34" s="408"/>
      <c r="B34" s="2047" t="s">
        <v>317</v>
      </c>
      <c r="C34" s="2048"/>
      <c r="D34" s="2048"/>
      <c r="E34" s="2048"/>
      <c r="F34" s="2048"/>
      <c r="G34" s="2048"/>
      <c r="H34" s="2048"/>
      <c r="I34" s="2048"/>
      <c r="J34" s="2048"/>
      <c r="K34" s="2048"/>
      <c r="L34" s="2048"/>
      <c r="M34" s="2048"/>
      <c r="N34" s="411"/>
      <c r="O34" s="711"/>
      <c r="P34" s="411"/>
      <c r="Q34" s="711"/>
      <c r="R34" s="411"/>
      <c r="S34" s="240">
        <f>S36+S49+S62+S75+S88</f>
        <v>11148.112535344046</v>
      </c>
      <c r="T34" s="408" t="s">
        <v>318</v>
      </c>
      <c r="U34" s="240">
        <f>U36+U49+U62+U75+U88</f>
        <v>1957782.2653452994</v>
      </c>
      <c r="V34" s="408" t="s">
        <v>319</v>
      </c>
      <c r="W34" s="240">
        <f>W36+W49+W62+W75+W88</f>
        <v>1957782.2653452994</v>
      </c>
      <c r="X34" s="408" t="s">
        <v>319</v>
      </c>
      <c r="Y34" s="2052"/>
      <c r="Z34" s="408"/>
      <c r="AA34" s="408"/>
      <c r="AB34" s="423"/>
    </row>
    <row r="35" spans="1:28" s="237" customFormat="1" ht="25.15" hidden="1" customHeight="1" outlineLevel="1" x14ac:dyDescent="0.25">
      <c r="A35" s="408"/>
      <c r="B35" s="2034" t="s">
        <v>320</v>
      </c>
      <c r="C35" s="2040"/>
      <c r="D35" s="2040"/>
      <c r="E35" s="2041"/>
      <c r="F35" s="2040"/>
      <c r="G35" s="2040"/>
      <c r="H35" s="2040"/>
      <c r="I35" s="2041"/>
      <c r="J35" s="2040"/>
      <c r="K35" s="2040"/>
      <c r="L35" s="2040"/>
      <c r="M35" s="2040"/>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34" t="s">
        <v>321</v>
      </c>
      <c r="C36" s="2034" t="s">
        <v>322</v>
      </c>
      <c r="D36" s="2036"/>
      <c r="E36" s="1308"/>
      <c r="F36" s="2056" t="s">
        <v>323</v>
      </c>
      <c r="G36" s="2040"/>
      <c r="H36" s="2057"/>
      <c r="I36" s="709"/>
      <c r="J36" s="2037" t="s">
        <v>876</v>
      </c>
      <c r="K36" s="2038"/>
      <c r="L36" s="2038"/>
      <c r="M36" s="2038"/>
      <c r="N36" s="408"/>
      <c r="O36" s="240">
        <f>O39+O41+O42+O43+O44+O45</f>
        <v>25</v>
      </c>
      <c r="P36" s="417"/>
      <c r="Q36" s="717">
        <f>Q39+Q41+Q42+Q43+Q44+Q45</f>
        <v>477.35153028326295</v>
      </c>
      <c r="R36" s="408"/>
      <c r="S36" s="2039">
        <f>IF(AND(Q36&lt;&gt;0,O36&lt;&gt;0),Q36/(1+$D$17+$D$18+$D$19)/(($D$25*1000000/$D$8)),0)</f>
        <v>1.5896487555346961</v>
      </c>
      <c r="T36" s="2042" t="s">
        <v>324</v>
      </c>
      <c r="U36" s="2039">
        <f>U39+U41+U42+U43+U44+U45</f>
        <v>250.06604084120031</v>
      </c>
      <c r="V36" s="417" t="s">
        <v>325</v>
      </c>
      <c r="W36" s="2039">
        <f>W39*O39+W41*O41+W42*O42+W43*O43+W44*O44+W45*O45</f>
        <v>250.06604084120031</v>
      </c>
      <c r="X36" s="417" t="s">
        <v>325</v>
      </c>
      <c r="Y36" s="694" t="s">
        <v>326</v>
      </c>
      <c r="Z36" s="408"/>
      <c r="AA36" s="408"/>
      <c r="AB36" s="423"/>
    </row>
    <row r="37" spans="1:28" s="237" customFormat="1" ht="24" hidden="1" customHeight="1" outlineLevel="1" x14ac:dyDescent="0.25">
      <c r="A37" s="408"/>
      <c r="B37" s="2035"/>
      <c r="C37" s="1418" t="s">
        <v>327</v>
      </c>
      <c r="D37" s="1419" t="s">
        <v>328</v>
      </c>
      <c r="E37" s="1309"/>
      <c r="F37" s="2058"/>
      <c r="G37" s="2040"/>
      <c r="H37" s="2057"/>
      <c r="I37" s="710"/>
      <c r="J37" s="2059" t="s">
        <v>329</v>
      </c>
      <c r="K37" s="2060"/>
      <c r="L37" s="2061" t="s">
        <v>330</v>
      </c>
      <c r="M37" s="2060"/>
      <c r="N37" s="408"/>
      <c r="O37" s="714" t="s">
        <v>331</v>
      </c>
      <c r="P37" s="417"/>
      <c r="Q37" s="718">
        <v>0.5</v>
      </c>
      <c r="R37" s="408"/>
      <c r="S37" s="1980"/>
      <c r="T37" s="2043"/>
      <c r="U37" s="1980"/>
      <c r="V37" s="417"/>
      <c r="W37" s="1979"/>
      <c r="X37" s="417"/>
      <c r="Y37" s="721">
        <f>$Y$33</f>
        <v>0.1</v>
      </c>
      <c r="Z37" s="408"/>
      <c r="AA37" s="408"/>
      <c r="AB37" s="423"/>
    </row>
    <row r="38" spans="1:28" s="237" customFormat="1" ht="24" hidden="1" customHeight="1" outlineLevel="1" x14ac:dyDescent="0.25">
      <c r="A38" s="408"/>
      <c r="B38" s="2029">
        <v>1</v>
      </c>
      <c r="C38" s="2029">
        <v>1</v>
      </c>
      <c r="D38" s="2032">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0"/>
      <c r="C39" s="2031"/>
      <c r="D39" s="2033"/>
      <c r="E39" s="710"/>
      <c r="F39" s="1473" t="s">
        <v>289</v>
      </c>
      <c r="G39" s="1474">
        <v>5</v>
      </c>
      <c r="H39" s="1475">
        <v>0.35</v>
      </c>
      <c r="I39" s="1309"/>
      <c r="J39" s="1476">
        <f>$L$32*H39*$B$38*$C$38</f>
        <v>85.884933962611157</v>
      </c>
      <c r="K39" s="1477">
        <f>$M$32*H39*$B$38*$C$38</f>
        <v>7.1570778302175961</v>
      </c>
      <c r="L39" s="1476">
        <f>J39*$D$38</f>
        <v>107.35616745326395</v>
      </c>
      <c r="M39" s="1477">
        <f>K39*$D$38</f>
        <v>8.9463472877719958</v>
      </c>
      <c r="N39" s="408"/>
      <c r="O39" s="715">
        <v>5</v>
      </c>
      <c r="P39" s="417"/>
      <c r="Q39" s="261">
        <f>O39*$Q$37*M39+O39*(1-$Q$37)*K39</f>
        <v>40.258562794973983</v>
      </c>
      <c r="R39" s="408"/>
      <c r="S39" s="719">
        <f>IF(AND(Q39&lt;&gt;0,O39&lt;&gt;0),Q39/(1+$D$17+$D$18+$D$19)/O39/30/(($D$25*1000000/$D$8))*1000,0)</f>
        <v>0.89377841676649572</v>
      </c>
      <c r="T39" s="417" t="s">
        <v>333</v>
      </c>
      <c r="U39" s="699">
        <f>S39*O39*30*$D$11*(1+$D$24)/1000</f>
        <v>21.089907058896408</v>
      </c>
      <c r="V39" s="417" t="s">
        <v>334</v>
      </c>
      <c r="W39" s="699">
        <f>IF(O39&lt;&gt;0,U39/O39,0)</f>
        <v>4.2179814117792818</v>
      </c>
      <c r="X39" s="417" t="s">
        <v>335</v>
      </c>
      <c r="Y39" s="262" t="str">
        <f>IF(O39=0,"-", IF(W39&lt;=(G39*(1+$Y$37)),"OK", "NOK"))</f>
        <v>OK</v>
      </c>
      <c r="Z39" s="139"/>
      <c r="AA39" s="227">
        <f>IF(OR(Y39="OK",Y39="-"),1,0)</f>
        <v>1</v>
      </c>
      <c r="AB39" s="423"/>
    </row>
    <row r="40" spans="1:28" s="237" customFormat="1" ht="24" hidden="1" customHeight="1" outlineLevel="1" x14ac:dyDescent="0.25">
      <c r="A40" s="408"/>
      <c r="B40" s="2030"/>
      <c r="C40" s="2031"/>
      <c r="D40" s="2033"/>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0"/>
      <c r="C41" s="2031"/>
      <c r="D41" s="2033"/>
      <c r="E41" s="710"/>
      <c r="F41" s="1473">
        <f>G39</f>
        <v>5</v>
      </c>
      <c r="G41" s="1474">
        <v>15</v>
      </c>
      <c r="H41" s="1475">
        <v>0.06</v>
      </c>
      <c r="I41" s="1309"/>
      <c r="J41" s="1476">
        <f>$L$32*(H39+(G41-F41)*H41)*$B$38*$C$38</f>
        <v>233.11624932708744</v>
      </c>
      <c r="K41" s="1477">
        <f>$M$32*(H39+(G41-F41)*H41)*$B$38*$C$38</f>
        <v>19.426354110590619</v>
      </c>
      <c r="L41" s="1476">
        <f t="shared" ref="L41:M45" si="0">J41*$D$38</f>
        <v>291.39531165885933</v>
      </c>
      <c r="M41" s="1477">
        <f t="shared" si="0"/>
        <v>24.282942638238275</v>
      </c>
      <c r="N41" s="408"/>
      <c r="O41" s="715">
        <v>20</v>
      </c>
      <c r="P41" s="417"/>
      <c r="Q41" s="261">
        <f>O41*$Q$37*M41+O41*(1-$Q$37)*K41</f>
        <v>437.09296748828893</v>
      </c>
      <c r="R41" s="408"/>
      <c r="S41" s="719">
        <f>IF(AND(Q41&lt;&gt;0,O41&lt;&gt;0),Q41/(1+$D$17+$D$18+$D$19)/O41/30/(($D$25*1000000/$D$8))*1000,0)</f>
        <v>2.4259699883662029</v>
      </c>
      <c r="T41" s="417" t="s">
        <v>333</v>
      </c>
      <c r="U41" s="699">
        <f>S41*O41*30*$D$11*(1+$D$24)/1000</f>
        <v>228.97613378230389</v>
      </c>
      <c r="V41" s="417" t="s">
        <v>334</v>
      </c>
      <c r="W41" s="699">
        <f>IF(O41&lt;&gt;0,U41/O41,0)</f>
        <v>11.448806689115195</v>
      </c>
      <c r="X41" s="417" t="s">
        <v>335</v>
      </c>
      <c r="Y41" s="240" t="str">
        <f>IF(O41=0,"-",IF(AND(((F41*(1-$Y$37))&lt;W41),(W41&lt;(G41*(1+$Y$37)))),"OK", "NOK"))</f>
        <v>OK</v>
      </c>
      <c r="Z41" s="139"/>
      <c r="AA41" s="227">
        <f>IF(OR(Y41="OK",Y41="-"),1,0)</f>
        <v>1</v>
      </c>
      <c r="AB41" s="423"/>
    </row>
    <row r="42" spans="1:28" s="237" customFormat="1" ht="24" hidden="1" customHeight="1" outlineLevel="1" x14ac:dyDescent="0.25">
      <c r="A42" s="408"/>
      <c r="B42" s="2030"/>
      <c r="C42" s="2031"/>
      <c r="D42" s="2033"/>
      <c r="E42" s="710"/>
      <c r="F42" s="1473">
        <f>G41</f>
        <v>15</v>
      </c>
      <c r="G42" s="1474">
        <v>25</v>
      </c>
      <c r="H42" s="1475">
        <v>0.05</v>
      </c>
      <c r="I42" s="1309"/>
      <c r="J42" s="1476">
        <f>$L$32*(H39+(G41-F41)*H41+(G42-F42)*H42)*$B$38*$C$38</f>
        <v>355.80901213081768</v>
      </c>
      <c r="K42" s="1477">
        <f>$M$32*(H39+(G41-F41)*H41+(G42-F42)*H42)*$B$38*$C$38</f>
        <v>29.65075101090147</v>
      </c>
      <c r="L42" s="1476">
        <f t="shared" si="0"/>
        <v>444.76126516352213</v>
      </c>
      <c r="M42" s="1477">
        <f t="shared" si="0"/>
        <v>37.063438763626834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0"/>
      <c r="C43" s="2031"/>
      <c r="D43" s="2033"/>
      <c r="E43" s="710"/>
      <c r="F43" s="1473">
        <f>G42</f>
        <v>25</v>
      </c>
      <c r="G43" s="1474">
        <v>35</v>
      </c>
      <c r="H43" s="1475">
        <v>3.5000000000000003E-2</v>
      </c>
      <c r="I43" s="1309"/>
      <c r="J43" s="1476">
        <f>$L$32*(H39+(G41-F41)*H41+(G42-F42)*H42+(G43-F43)*H43)*$B$38*$C$38</f>
        <v>441.69394609342885</v>
      </c>
      <c r="K43" s="1477">
        <f>$M$32*(H39+(G41-F41)*H41+(G42-F42)*H42+(G43-F43)*H43)*$B$38*$C$38</f>
        <v>36.807828841119068</v>
      </c>
      <c r="L43" s="1476">
        <f t="shared" si="0"/>
        <v>552.11743261678612</v>
      </c>
      <c r="M43" s="1477">
        <f t="shared" si="0"/>
        <v>46.009786051398834</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0"/>
      <c r="C44" s="2031"/>
      <c r="D44" s="2033"/>
      <c r="E44" s="710"/>
      <c r="F44" s="1473">
        <f>G43</f>
        <v>35</v>
      </c>
      <c r="G44" s="1474">
        <v>50</v>
      </c>
      <c r="H44" s="1475">
        <f>0.03</f>
        <v>0.03</v>
      </c>
      <c r="I44" s="1309"/>
      <c r="J44" s="1476">
        <f>$L$32*(H39+(G41-F41)*H41+(G42-F42)*H42+(G43-F43)*H43+(G44-F44)*H44)*$B$38*$C$38</f>
        <v>552.117432616786</v>
      </c>
      <c r="K44" s="1477">
        <f>$M$32*(H39+(G41-F41)*H41+(G42-F42)*H42+(G43-F43)*H43+(G44-F44)*H44)*$B$38*$C$38</f>
        <v>46.009786051398834</v>
      </c>
      <c r="L44" s="1476">
        <f t="shared" si="0"/>
        <v>690.14679077098253</v>
      </c>
      <c r="M44" s="1477">
        <f t="shared" si="0"/>
        <v>57.512232564248542</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0"/>
      <c r="C45" s="2031"/>
      <c r="D45" s="2033"/>
      <c r="E45" s="710"/>
      <c r="F45" s="1473">
        <f>G44</f>
        <v>50</v>
      </c>
      <c r="G45" s="1474">
        <v>100</v>
      </c>
      <c r="H45" s="1475">
        <v>2.5000000000000001E-2</v>
      </c>
      <c r="I45" s="1309"/>
      <c r="J45" s="1476">
        <f>$L$32*(H39+(G41-F41)*H41+(G42-F42)*H42+(G43-F43)*H43+(G44-F44)*H44+(G45-F45)*H45)*$B$38*$C$38</f>
        <v>858.8493396261116</v>
      </c>
      <c r="K45" s="1477">
        <f>$M$32*(H39+(G41-F41)*H41+(G42-F42)*H42+(G43-F43)*H43+(G44-F44)*H44+(G45-F45)*H45)*$B$38*$C$38</f>
        <v>71.570778302175967</v>
      </c>
      <c r="L45" s="1476">
        <f t="shared" si="0"/>
        <v>1073.5616745326395</v>
      </c>
      <c r="M45" s="1477">
        <f t="shared" si="0"/>
        <v>89.463472877719965</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47" t="s">
        <v>336</v>
      </c>
      <c r="C47" s="2048"/>
      <c r="D47" s="2048"/>
      <c r="E47" s="2048"/>
      <c r="F47" s="2048"/>
      <c r="G47" s="2048"/>
      <c r="H47" s="2048"/>
      <c r="I47" s="2048"/>
      <c r="J47" s="2048"/>
      <c r="K47" s="2048"/>
      <c r="L47" s="2048"/>
      <c r="M47" s="2048"/>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34" t="s">
        <v>320</v>
      </c>
      <c r="C48" s="2040"/>
      <c r="D48" s="2040"/>
      <c r="E48" s="2041"/>
      <c r="F48" s="2040"/>
      <c r="G48" s="2040"/>
      <c r="H48" s="2040"/>
      <c r="I48" s="2041"/>
      <c r="J48" s="2040"/>
      <c r="K48" s="2040"/>
      <c r="L48" s="2040"/>
      <c r="M48" s="2040"/>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34" t="s">
        <v>321</v>
      </c>
      <c r="C49" s="2034" t="s">
        <v>322</v>
      </c>
      <c r="D49" s="2036"/>
      <c r="E49" s="1308"/>
      <c r="F49" s="2056" t="s">
        <v>323</v>
      </c>
      <c r="G49" s="2040"/>
      <c r="H49" s="2057"/>
      <c r="I49" s="709"/>
      <c r="J49" s="2037" t="s">
        <v>876</v>
      </c>
      <c r="K49" s="2038"/>
      <c r="L49" s="2038"/>
      <c r="M49" s="2038"/>
      <c r="N49" s="408"/>
      <c r="O49" s="240">
        <f>O52+O54+O55+O56+O57+O58</f>
        <v>109759</v>
      </c>
      <c r="P49" s="417"/>
      <c r="Q49" s="723">
        <f>Q52+Q54+Q55+Q56+Q57+Q58</f>
        <v>1840428.8250071201</v>
      </c>
      <c r="R49" s="408"/>
      <c r="S49" s="2076">
        <f>IF(AND(Q49&lt;&gt;0,O49&lt;&gt;0),Q49/(1+$D$17+$D$18+$D$19)/(($D$25*1000000/$D$8)),0)</f>
        <v>6128.89077696402</v>
      </c>
      <c r="T49" s="2042" t="s">
        <v>324</v>
      </c>
      <c r="U49" s="2039">
        <f>U52+U54+U55+U56+U57+U58</f>
        <v>964129.62046324764</v>
      </c>
      <c r="V49" s="417" t="s">
        <v>325</v>
      </c>
      <c r="W49" s="2074">
        <f>W52*O52+W54*O54+W55*O55+W56*O56+W57*O57+W58*O58</f>
        <v>964129.62046324764</v>
      </c>
      <c r="X49" s="417" t="s">
        <v>325</v>
      </c>
      <c r="Y49" s="694" t="s">
        <v>326</v>
      </c>
      <c r="Z49" s="408"/>
      <c r="AA49" s="408"/>
      <c r="AB49" s="423"/>
    </row>
    <row r="50" spans="1:28" s="237" customFormat="1" ht="24" hidden="1" customHeight="1" outlineLevel="1" x14ac:dyDescent="0.25">
      <c r="A50" s="408"/>
      <c r="B50" s="2035"/>
      <c r="C50" s="1418" t="s">
        <v>327</v>
      </c>
      <c r="D50" s="1419" t="s">
        <v>328</v>
      </c>
      <c r="E50" s="1309"/>
      <c r="F50" s="2058"/>
      <c r="G50" s="2040"/>
      <c r="H50" s="2057"/>
      <c r="I50" s="710"/>
      <c r="J50" s="2059" t="s">
        <v>329</v>
      </c>
      <c r="K50" s="2060"/>
      <c r="L50" s="2061" t="s">
        <v>330</v>
      </c>
      <c r="M50" s="2060"/>
      <c r="N50" s="408"/>
      <c r="O50" s="722" t="s">
        <v>331</v>
      </c>
      <c r="P50" s="417"/>
      <c r="Q50" s="718">
        <v>0.5</v>
      </c>
      <c r="R50" s="408"/>
      <c r="S50" s="1980"/>
      <c r="T50" s="2043"/>
      <c r="U50" s="1980"/>
      <c r="V50" s="417"/>
      <c r="W50" s="2075"/>
      <c r="X50" s="417"/>
      <c r="Y50" s="721">
        <f>$Y$33</f>
        <v>0.1</v>
      </c>
      <c r="Z50" s="408"/>
      <c r="AA50" s="408"/>
      <c r="AB50" s="423"/>
    </row>
    <row r="51" spans="1:28" s="237" customFormat="1" ht="24" hidden="1" customHeight="1" outlineLevel="1" x14ac:dyDescent="0.25">
      <c r="A51" s="408"/>
      <c r="B51" s="2029">
        <v>1</v>
      </c>
      <c r="C51" s="2029">
        <v>1</v>
      </c>
      <c r="D51" s="2032">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0"/>
      <c r="C52" s="2031"/>
      <c r="D52" s="2033"/>
      <c r="E52" s="710"/>
      <c r="F52" s="1473" t="s">
        <v>289</v>
      </c>
      <c r="G52" s="1474">
        <v>5</v>
      </c>
      <c r="H52" s="1475">
        <f>0.35-0.05</f>
        <v>0.3</v>
      </c>
      <c r="I52" s="1309"/>
      <c r="J52" s="1476">
        <f>$L$32*H52*$B$51*$C$51</f>
        <v>73.615657682238137</v>
      </c>
      <c r="K52" s="1477">
        <f>$M$32*H52*$B$51*$C$51</f>
        <v>6.1346381401865111</v>
      </c>
      <c r="L52" s="1476">
        <f>J52*$D$51</f>
        <v>92.019572102797667</v>
      </c>
      <c r="M52" s="1477">
        <f>K52*$D$51</f>
        <v>7.6682976752331387</v>
      </c>
      <c r="N52" s="408"/>
      <c r="O52" s="715">
        <v>76400</v>
      </c>
      <c r="P52" s="417"/>
      <c r="Q52" s="261">
        <f>O52*$Q$50*M52+O52*(1-$Q$50)*K52</f>
        <v>527272.14814903063</v>
      </c>
      <c r="R52" s="408"/>
      <c r="S52" s="719">
        <f>IF(AND(Q52&lt;&gt;0,O52&lt;&gt;0),Q52/(1+$D$17+$D$18+$D$19)/O52/30/(($D$25*1000000/$D$8))*1000,0)</f>
        <v>0.76609578579985338</v>
      </c>
      <c r="T52" s="417" t="s">
        <v>333</v>
      </c>
      <c r="U52" s="699">
        <f>S52*O52*30*$D$11*(1+$D$24)/1000</f>
        <v>276217.52559423179</v>
      </c>
      <c r="V52" s="417" t="s">
        <v>334</v>
      </c>
      <c r="W52" s="699">
        <f>IF(O52&lt;&gt;0,U52/O52,0)</f>
        <v>3.6154126386679555</v>
      </c>
      <c r="X52" s="417" t="s">
        <v>335</v>
      </c>
      <c r="Y52" s="262" t="str">
        <f>IF(O52=0,"-", IF(W52&lt;=(G52*(1+$Y$50)),"OK", "NOK"))</f>
        <v>OK</v>
      </c>
      <c r="Z52" s="139"/>
      <c r="AA52" s="227">
        <f>IF(OR(Y52="OK",Y52="-"),1,0)</f>
        <v>1</v>
      </c>
      <c r="AB52" s="423"/>
    </row>
    <row r="53" spans="1:28" s="237" customFormat="1" ht="24" hidden="1" customHeight="1" outlineLevel="1" x14ac:dyDescent="0.25">
      <c r="A53" s="408"/>
      <c r="B53" s="2030"/>
      <c r="C53" s="2031"/>
      <c r="D53" s="2033"/>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0"/>
      <c r="C54" s="2031"/>
      <c r="D54" s="2033"/>
      <c r="E54" s="710"/>
      <c r="F54" s="1473">
        <f>G52</f>
        <v>5</v>
      </c>
      <c r="G54" s="1474">
        <v>15</v>
      </c>
      <c r="H54" s="1475">
        <f>0.08</f>
        <v>0.08</v>
      </c>
      <c r="I54" s="1309"/>
      <c r="J54" s="1476">
        <f>$L$32*(H52+(G54-F54)*H54)*$B$51*$C$51</f>
        <v>269.92407816820651</v>
      </c>
      <c r="K54" s="1477">
        <f>$M$32*(H52+(G54-F54)*H54)*$B$51*$C$51</f>
        <v>22.493673180683878</v>
      </c>
      <c r="L54" s="1476">
        <f t="shared" ref="L54:M58" si="1">J54*$D$51</f>
        <v>337.40509771025813</v>
      </c>
      <c r="M54" s="1477">
        <f t="shared" si="1"/>
        <v>28.117091475854849</v>
      </c>
      <c r="N54" s="408"/>
      <c r="O54" s="715">
        <v>16500</v>
      </c>
      <c r="P54" s="417"/>
      <c r="Q54" s="261">
        <f>O54*$Q$50*M54+O54*(1-$Q$50)*K54</f>
        <v>417538.80841644452</v>
      </c>
      <c r="R54" s="408"/>
      <c r="S54" s="719">
        <f>IF(AND(Q54&lt;&gt;0,O54&lt;&gt;0),Q54/(1+$D$17+$D$18+$D$19)/O54/30/(($D$25*1000000/$D$8))*1000,0)</f>
        <v>2.8090178812661297</v>
      </c>
      <c r="T54" s="417" t="s">
        <v>333</v>
      </c>
      <c r="U54" s="699">
        <f>S54*O54*30*$D$11*(1+$D$24)/1000</f>
        <v>218732.46463941137</v>
      </c>
      <c r="V54" s="417" t="s">
        <v>334</v>
      </c>
      <c r="W54" s="726">
        <f>IF(O54&lt;&gt;0,U54/O54,0)</f>
        <v>13.256513008449174</v>
      </c>
      <c r="X54" s="417" t="s">
        <v>335</v>
      </c>
      <c r="Y54" s="262" t="str">
        <f>IF(O54=0,"-",IF(AND(((F54*(1-$Y$50))&lt;W54),(W54&lt;(G54*(1+$Y$50)))),"OK", "NOK"))</f>
        <v>OK</v>
      </c>
      <c r="Z54" s="139"/>
      <c r="AA54" s="227">
        <f>IF(OR(Y54="OK",Y54="-"),1,0)</f>
        <v>1</v>
      </c>
      <c r="AB54" s="423"/>
    </row>
    <row r="55" spans="1:28" s="237" customFormat="1" ht="24" hidden="1" customHeight="1" outlineLevel="1" x14ac:dyDescent="0.25">
      <c r="A55" s="408"/>
      <c r="B55" s="2030"/>
      <c r="C55" s="2031"/>
      <c r="D55" s="2033"/>
      <c r="E55" s="710"/>
      <c r="F55" s="1473">
        <f>G54</f>
        <v>15</v>
      </c>
      <c r="G55" s="1474">
        <v>25</v>
      </c>
      <c r="H55" s="1475">
        <f>0.0725</f>
        <v>7.2499999999999995E-2</v>
      </c>
      <c r="I55" s="1309"/>
      <c r="J55" s="1476">
        <f>$L$32*(H52+(G54-F54)*H54+(G55-F55)*H55)*$B$51*$C$51</f>
        <v>447.8285842336154</v>
      </c>
      <c r="K55" s="1477">
        <f>$M$32*(H52+(G54-F54)*H54+(G55-F55)*H55)*$B$51*$C$51</f>
        <v>37.319048686134614</v>
      </c>
      <c r="L55" s="1476">
        <f t="shared" si="1"/>
        <v>559.78573029201925</v>
      </c>
      <c r="M55" s="1477">
        <f t="shared" si="1"/>
        <v>46.648810857668266</v>
      </c>
      <c r="N55" s="408"/>
      <c r="O55" s="715">
        <v>10000</v>
      </c>
      <c r="P55" s="417"/>
      <c r="Q55" s="261">
        <f>O55*$Q$50*M55+O55*(1-$Q$50)*K55</f>
        <v>419839.29771901446</v>
      </c>
      <c r="R55" s="408"/>
      <c r="S55" s="719">
        <f>IF(AND(Q55&lt;&gt;0,O55&lt;&gt;0),Q55/(1+$D$17+$D$18+$D$19)/O55/30/(($D$25*1000000/$D$8))*1000,0)</f>
        <v>4.6604160302824438</v>
      </c>
      <c r="T55" s="417" t="s">
        <v>333</v>
      </c>
      <c r="U55" s="699">
        <f>S55*O55*30*$D$11*(1+$D$24)/1000</f>
        <v>219937.60218563405</v>
      </c>
      <c r="V55" s="417" t="s">
        <v>334</v>
      </c>
      <c r="W55" s="727">
        <f>IF(O55&lt;&gt;0,U55/O55,0)</f>
        <v>21.993760218563406</v>
      </c>
      <c r="X55" s="417" t="s">
        <v>335</v>
      </c>
      <c r="Y55" s="262" t="str">
        <f>IF(O55=0,"-",IF(AND(((F55*(1-$Y$50))&lt;W55),(W55&lt;(G55*(1+$Y$50)))),"OK", "NOK"))</f>
        <v>OK</v>
      </c>
      <c r="Z55" s="139"/>
      <c r="AA55" s="227">
        <f>IF(OR(Y55="OK",Y55="-"),1,0)</f>
        <v>1</v>
      </c>
      <c r="AB55" s="423"/>
    </row>
    <row r="56" spans="1:28" s="237" customFormat="1" ht="24" hidden="1" customHeight="1" outlineLevel="1" x14ac:dyDescent="0.25">
      <c r="A56" s="408"/>
      <c r="B56" s="2030"/>
      <c r="C56" s="2031"/>
      <c r="D56" s="2033"/>
      <c r="E56" s="710"/>
      <c r="F56" s="1473">
        <f>G55</f>
        <v>25</v>
      </c>
      <c r="G56" s="1474">
        <v>35</v>
      </c>
      <c r="H56" s="1475">
        <v>6.5000000000000002E-2</v>
      </c>
      <c r="I56" s="1309"/>
      <c r="J56" s="1476">
        <f>$L$32*(H52+(G54-F54)*H54+(G55-F55)*H55+(G56-F56)*H56)*$B$51*$C$51</f>
        <v>607.32917587846464</v>
      </c>
      <c r="K56" s="1477">
        <f>$M$32*(H52+(G54-F54)*H54+(G55-F55)*H55+(G56-F56)*H56)*$B$51*$C$51</f>
        <v>50.61076465653872</v>
      </c>
      <c r="L56" s="1476">
        <f t="shared" si="1"/>
        <v>759.16146984808074</v>
      </c>
      <c r="M56" s="1477">
        <f t="shared" si="1"/>
        <v>63.2634558206734</v>
      </c>
      <c r="N56" s="408"/>
      <c r="O56" s="715">
        <v>5500</v>
      </c>
      <c r="P56" s="417"/>
      <c r="Q56" s="261">
        <f>O56*$Q$50*M56+O56*(1-$Q$50)*K56</f>
        <v>313154.10631233332</v>
      </c>
      <c r="R56" s="408"/>
      <c r="S56" s="719">
        <f>IF(AND(Q56&lt;&gt;0,O56&lt;&gt;0),Q56/(1+$D$17+$D$18+$D$19)/O56/30/(($D$25*1000000/$D$8))*1000,0)</f>
        <v>6.32029023284879</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030"/>
      <c r="C57" s="2031"/>
      <c r="D57" s="2033"/>
      <c r="E57" s="710"/>
      <c r="F57" s="1473">
        <f>G56</f>
        <v>35</v>
      </c>
      <c r="G57" s="1474">
        <v>50</v>
      </c>
      <c r="H57" s="1475">
        <f>0.06</f>
        <v>0.06</v>
      </c>
      <c r="I57" s="1309"/>
      <c r="J57" s="1476">
        <f>$L$32*(H52+(G54-F54)*H54+(G55-F55)*H55+(G56-F56)*H56+(G57-F57)*H57)*$B$51*$C$51</f>
        <v>828.17614892517906</v>
      </c>
      <c r="K57" s="1477">
        <f>$M$32*(H52+(G54-F54)*H54+(G55-F55)*H55+(G56-F56)*H56+(G57-F57)*H57)*$B$51*$C$51</f>
        <v>69.014679077098251</v>
      </c>
      <c r="L57" s="1476">
        <f t="shared" si="1"/>
        <v>1035.2201861564738</v>
      </c>
      <c r="M57" s="1477">
        <f t="shared" si="1"/>
        <v>86.268348846372817</v>
      </c>
      <c r="N57" s="408"/>
      <c r="O57" s="715">
        <v>366</v>
      </c>
      <c r="P57" s="417"/>
      <c r="Q57" s="261">
        <f>O57*$Q$50*M57+O57*(1-$Q$50)*K57</f>
        <v>28416.794109995208</v>
      </c>
      <c r="R57" s="408"/>
      <c r="S57" s="719">
        <f>IF(AND(Q57&lt;&gt;0,O57&lt;&gt;0),Q57/(1+$D$17+$D$18+$D$19)/O57/30/(($D$25*1000000/$D$8))*1000,0)</f>
        <v>8.6185775902483517</v>
      </c>
      <c r="T57" s="417" t="s">
        <v>333</v>
      </c>
      <c r="U57" s="699">
        <f>S57*O57*30*$D$11*(1+$D$24)/1000</f>
        <v>14886.46153971531</v>
      </c>
      <c r="V57" s="417" t="s">
        <v>334</v>
      </c>
      <c r="W57" s="727">
        <f>IF(O57&lt;&gt;0,U57/O57,0)</f>
        <v>40.673392185014507</v>
      </c>
      <c r="X57" s="417" t="s">
        <v>335</v>
      </c>
      <c r="Y57" s="262" t="str">
        <f>IF(O57=0,"-",IF(AND(((F57*(1-$Y$50))&lt;W57),(W57&lt;(G57*(1+$Y$50)))),"OK", "NOK"))</f>
        <v>OK</v>
      </c>
      <c r="Z57" s="139"/>
      <c r="AA57" s="227">
        <f>IF(OR(Y57="OK",Y57="-"),1,0)</f>
        <v>1</v>
      </c>
      <c r="AB57" s="423"/>
    </row>
    <row r="58" spans="1:28" s="237" customFormat="1" ht="24" hidden="1" customHeight="1" outlineLevel="1" x14ac:dyDescent="0.25">
      <c r="A58" s="408"/>
      <c r="B58" s="2030"/>
      <c r="C58" s="2031"/>
      <c r="D58" s="2033"/>
      <c r="E58" s="710"/>
      <c r="F58" s="1473">
        <f>G57</f>
        <v>50</v>
      </c>
      <c r="G58" s="1474">
        <v>100</v>
      </c>
      <c r="H58" s="1475">
        <v>0.05</v>
      </c>
      <c r="I58" s="1309"/>
      <c r="J58" s="1476">
        <f>$L$32*(H52+(G54-F54)*H54+(G55-F55)*H55+(G56-F56)*H56+(G57-F57)*H57+(G58-F58)*H58)*$B$51*$C$51</f>
        <v>1441.6399629438301</v>
      </c>
      <c r="K58" s="1477">
        <f>$M$32*(H52+(G54-F54)*H54+(G55-F55)*H55+(G56-F56)*H56+(G57-F57)*H57+(G58-F58)*H58)*$B$51*$C$51</f>
        <v>120.13666357865252</v>
      </c>
      <c r="L58" s="1476">
        <f t="shared" si="1"/>
        <v>1802.0499536797877</v>
      </c>
      <c r="M58" s="1477">
        <f t="shared" si="1"/>
        <v>150.17082947331565</v>
      </c>
      <c r="N58" s="408"/>
      <c r="O58" s="715">
        <v>993</v>
      </c>
      <c r="P58" s="417"/>
      <c r="Q58" s="261">
        <f>O58*$Q$50*M58+O58*(1-$Q$50)*K58</f>
        <v>134207.67030030218</v>
      </c>
      <c r="R58" s="408"/>
      <c r="S58" s="719">
        <f>IF(AND(Q58&lt;&gt;0,O58&lt;&gt;0),Q58/(1+$D$17+$D$18+$D$19)/O58/30/(($D$25*1000000/$D$8))*1000,0)</f>
        <v>15.00270913858046</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47" t="s">
        <v>337</v>
      </c>
      <c r="C60" s="2048"/>
      <c r="D60" s="2048"/>
      <c r="E60" s="2048"/>
      <c r="F60" s="2048"/>
      <c r="G60" s="2048"/>
      <c r="H60" s="2048"/>
      <c r="I60" s="2048"/>
      <c r="J60" s="2048"/>
      <c r="K60" s="2048"/>
      <c r="L60" s="2048"/>
      <c r="M60" s="2048"/>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34" t="s">
        <v>320</v>
      </c>
      <c r="C61" s="2040"/>
      <c r="D61" s="2040"/>
      <c r="E61" s="2041"/>
      <c r="F61" s="2040"/>
      <c r="G61" s="2040"/>
      <c r="H61" s="2040"/>
      <c r="I61" s="2041"/>
      <c r="J61" s="2040"/>
      <c r="K61" s="2040"/>
      <c r="L61" s="2040"/>
      <c r="M61" s="2040"/>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34" t="s">
        <v>321</v>
      </c>
      <c r="C62" s="2034" t="s">
        <v>322</v>
      </c>
      <c r="D62" s="2036"/>
      <c r="E62" s="1308"/>
      <c r="F62" s="2056" t="s">
        <v>323</v>
      </c>
      <c r="G62" s="2040"/>
      <c r="H62" s="2057"/>
      <c r="I62" s="709"/>
      <c r="J62" s="2037" t="s">
        <v>876</v>
      </c>
      <c r="K62" s="2038"/>
      <c r="L62" s="2038"/>
      <c r="M62" s="2038"/>
      <c r="N62" s="408"/>
      <c r="O62" s="240">
        <f>O65+O67+O68+O69+O70+O71</f>
        <v>27440</v>
      </c>
      <c r="P62" s="417"/>
      <c r="Q62" s="717">
        <f>Q65+Q67+Q68+Q69+Q70+Q71</f>
        <v>97394.051894438337</v>
      </c>
      <c r="R62" s="408"/>
      <c r="S62" s="2039">
        <f>IF(AND(Q62&lt;&gt;0,O62&lt;&gt;0),Q62/(1+$D$17+$D$18+$D$19)/(($D$25*1000000/$D$8)),0)</f>
        <v>324.33609943305953</v>
      </c>
      <c r="T62" s="2042" t="s">
        <v>324</v>
      </c>
      <c r="U62" s="2039">
        <f>U65+U67+U68+U69+U70+U71</f>
        <v>255104.92177821492</v>
      </c>
      <c r="V62" s="417" t="s">
        <v>325</v>
      </c>
      <c r="W62" s="2039">
        <f>W65*O65+W67*O67+W68*O68+W69*O69+W70*O70+W71*O71</f>
        <v>255104.92177821492</v>
      </c>
      <c r="X62" s="417" t="s">
        <v>325</v>
      </c>
      <c r="Y62" s="694" t="s">
        <v>326</v>
      </c>
      <c r="Z62" s="408"/>
      <c r="AA62" s="408"/>
      <c r="AB62" s="423"/>
    </row>
    <row r="63" spans="1:28" s="237" customFormat="1" ht="24" hidden="1" customHeight="1" outlineLevel="1" x14ac:dyDescent="0.25">
      <c r="A63" s="408"/>
      <c r="B63" s="2035"/>
      <c r="C63" s="1418" t="s">
        <v>327</v>
      </c>
      <c r="D63" s="1419" t="s">
        <v>328</v>
      </c>
      <c r="E63" s="1309"/>
      <c r="F63" s="2058"/>
      <c r="G63" s="2040"/>
      <c r="H63" s="2057"/>
      <c r="I63" s="710"/>
      <c r="J63" s="2059" t="s">
        <v>329</v>
      </c>
      <c r="K63" s="2060"/>
      <c r="L63" s="2061" t="s">
        <v>330</v>
      </c>
      <c r="M63" s="2060"/>
      <c r="N63" s="408"/>
      <c r="O63" s="722" t="s">
        <v>331</v>
      </c>
      <c r="P63" s="417"/>
      <c r="Q63" s="718">
        <v>0.25</v>
      </c>
      <c r="R63" s="408"/>
      <c r="S63" s="1980"/>
      <c r="T63" s="2043"/>
      <c r="U63" s="1980"/>
      <c r="V63" s="417"/>
      <c r="W63" s="1979"/>
      <c r="X63" s="417"/>
      <c r="Y63" s="721">
        <f>$Y$33</f>
        <v>0.1</v>
      </c>
      <c r="Z63" s="408"/>
      <c r="AA63" s="408"/>
      <c r="AB63" s="423"/>
    </row>
    <row r="64" spans="1:28" s="237" customFormat="1" ht="24" hidden="1" customHeight="1" outlineLevel="1" x14ac:dyDescent="0.25">
      <c r="A64" s="408"/>
      <c r="B64" s="2071">
        <f>B51*$H$15</f>
        <v>0.2</v>
      </c>
      <c r="C64" s="2071">
        <f>C51</f>
        <v>1</v>
      </c>
      <c r="D64" s="2071">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72"/>
      <c r="C65" s="2072"/>
      <c r="D65" s="2072"/>
      <c r="E65" s="710"/>
      <c r="F65" s="1473" t="s">
        <v>289</v>
      </c>
      <c r="G65" s="1478">
        <f>G52</f>
        <v>5</v>
      </c>
      <c r="H65" s="1479">
        <f>H52</f>
        <v>0.3</v>
      </c>
      <c r="I65" s="1309"/>
      <c r="J65" s="1480">
        <f>$L$32*H65*$B$64*$C$64</f>
        <v>14.723131536447628</v>
      </c>
      <c r="K65" s="1477">
        <f>$M$32*H65*$B$64*$C$64</f>
        <v>1.2269276280373023</v>
      </c>
      <c r="L65" s="1476">
        <f>J65*$D$51</f>
        <v>18.403914420559534</v>
      </c>
      <c r="M65" s="1477">
        <f>K65*$D$51</f>
        <v>1.5336595350466278</v>
      </c>
      <c r="N65" s="408"/>
      <c r="O65" s="715">
        <v>15000</v>
      </c>
      <c r="P65" s="417"/>
      <c r="Q65" s="261">
        <f>O65*$Q$63*M65+O65*(1-$Q$63)*K65</f>
        <v>19554.159071844504</v>
      </c>
      <c r="R65" s="408"/>
      <c r="S65" s="719">
        <f>IF(AND(Q65&lt;&gt;0,O65&lt;&gt;0),Q65/(1+$D$17+$D$18+$D$19)/$H$15/O65/30/(($D$25*1000000/$D$8))*1000,0)</f>
        <v>0.72353490881097271</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72"/>
      <c r="C66" s="2072"/>
      <c r="D66" s="2072"/>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72"/>
      <c r="C67" s="2072"/>
      <c r="D67" s="2072"/>
      <c r="E67" s="710"/>
      <c r="F67" s="1473">
        <f>G65</f>
        <v>5</v>
      </c>
      <c r="G67" s="1478">
        <f t="shared" ref="G67:H71" si="2">G54</f>
        <v>15</v>
      </c>
      <c r="H67" s="1479">
        <f t="shared" si="2"/>
        <v>0.08</v>
      </c>
      <c r="I67" s="1309"/>
      <c r="J67" s="1480">
        <f>$L$32*(H65+(G67-F67)*H67)*$B$64*$C$64</f>
        <v>53.984815633641304</v>
      </c>
      <c r="K67" s="1477">
        <f>$M$32*(H65+(G67-F67)*H67)*$B$64*$C$64</f>
        <v>4.4987346361367759</v>
      </c>
      <c r="L67" s="1476">
        <f t="shared" ref="L67:M71" si="3">J67*$D$51</f>
        <v>67.481019542051627</v>
      </c>
      <c r="M67" s="1477">
        <f t="shared" si="3"/>
        <v>5.6234182951709695</v>
      </c>
      <c r="N67" s="408"/>
      <c r="O67" s="715">
        <v>8400</v>
      </c>
      <c r="P67" s="417"/>
      <c r="Q67" s="261">
        <f>O67*$Q$63*M67+O67*(1-$Q$63)*K67</f>
        <v>40151.206627520725</v>
      </c>
      <c r="R67" s="408"/>
      <c r="S67" s="719">
        <f>IF(AND(Q67&lt;&gt;0,O67&lt;&gt;0),Q67/(1+$D$17+$D$18+$D$19)/$H$15/O67/30/(($D$25*1000000/$D$8))*1000,0)</f>
        <v>2.652961332306901</v>
      </c>
      <c r="T67" s="417" t="s">
        <v>333</v>
      </c>
      <c r="U67" s="699">
        <f>S67*O67*30*$D$11*(1+$D$24)/1000</f>
        <v>105168.3365336968</v>
      </c>
      <c r="V67" s="417" t="s">
        <v>334</v>
      </c>
      <c r="W67" s="699">
        <f>IF(O67&lt;&gt;0,U67/O67,0)</f>
        <v>12.520040063535333</v>
      </c>
      <c r="X67" s="417" t="s">
        <v>335</v>
      </c>
      <c r="Y67" s="262" t="str">
        <f>IF(O67=0,"-",IF(AND(((F67*(1-$Y$63))&lt;W67),(W67&lt;(G67*(1+$Y$63)))),"OK", "NOK"))</f>
        <v>OK</v>
      </c>
      <c r="Z67" s="259">
        <f>W67/$H$15</f>
        <v>62.600200317676666</v>
      </c>
      <c r="AA67" s="227">
        <f>IF(OR(Y67="OK",Y67="-"),1,0)</f>
        <v>1</v>
      </c>
      <c r="AB67" s="409"/>
    </row>
    <row r="68" spans="1:28" s="237" customFormat="1" ht="24" hidden="1" customHeight="1" outlineLevel="1" x14ac:dyDescent="0.25">
      <c r="A68" s="408"/>
      <c r="B68" s="2072"/>
      <c r="C68" s="2072"/>
      <c r="D68" s="2072"/>
      <c r="E68" s="710"/>
      <c r="F68" s="1473">
        <f>G67</f>
        <v>15</v>
      </c>
      <c r="G68" s="1478">
        <f t="shared" si="2"/>
        <v>25</v>
      </c>
      <c r="H68" s="1479">
        <f t="shared" si="2"/>
        <v>7.2499999999999995E-2</v>
      </c>
      <c r="I68" s="1309"/>
      <c r="J68" s="1480">
        <f>$L$32*(H65+(G67-F67)*H67+(G68-F68)*H68)*$B$64*$C$64</f>
        <v>89.565716846723092</v>
      </c>
      <c r="K68" s="1477">
        <f>$M$32*(H65+(G67-F67)*H67+(G68-F68)*H68)*$B$64*$C$64</f>
        <v>7.4638097372269234</v>
      </c>
      <c r="L68" s="1476">
        <f t="shared" si="3"/>
        <v>111.95714605840386</v>
      </c>
      <c r="M68" s="1477">
        <f t="shared" si="3"/>
        <v>9.3297621715336536</v>
      </c>
      <c r="N68" s="408"/>
      <c r="O68" s="715">
        <v>2960</v>
      </c>
      <c r="P68" s="417"/>
      <c r="Q68" s="261">
        <f>O68*$Q$63*M68+O68*(1-$Q$63)*K68</f>
        <v>23473.681623578675</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072"/>
      <c r="C69" s="2072"/>
      <c r="D69" s="2072"/>
      <c r="E69" s="710"/>
      <c r="F69" s="1473">
        <f>G68</f>
        <v>25</v>
      </c>
      <c r="G69" s="1478">
        <f t="shared" si="2"/>
        <v>35</v>
      </c>
      <c r="H69" s="1479">
        <f t="shared" si="2"/>
        <v>6.5000000000000002E-2</v>
      </c>
      <c r="I69" s="1309"/>
      <c r="J69" s="1480">
        <f>$L$32*(H65+(G67-F67)*H67+(G68-F68)*H68+(G69-F69)*H69)*$B$64*$C$64</f>
        <v>121.46583517569293</v>
      </c>
      <c r="K69" s="1477">
        <f>$M$32*(H65+(G67-F67)*H67+(G68-F68)*H68+(G69-F69)*H69)*$B$64*$C$64</f>
        <v>10.122152931307745</v>
      </c>
      <c r="L69" s="1476">
        <f t="shared" si="3"/>
        <v>151.83229396961616</v>
      </c>
      <c r="M69" s="1477">
        <f t="shared" si="3"/>
        <v>12.652691164134682</v>
      </c>
      <c r="N69" s="408"/>
      <c r="O69" s="715">
        <v>693</v>
      </c>
      <c r="P69" s="417"/>
      <c r="Q69" s="261">
        <f>O69*$Q$63*M69+O69*(1-$Q$63)*K69</f>
        <v>7453.0677302335334</v>
      </c>
      <c r="R69" s="408"/>
      <c r="S69" s="719">
        <f>IF(AND(Q69&lt;&gt;0,O69&lt;&gt;0),Q69/(1+$D$17+$D$18+$D$19)/$H$15/O69/30/(($D$25*1000000/$D$8))*1000,0)</f>
        <v>5.9691629976905247</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072"/>
      <c r="C70" s="2072"/>
      <c r="D70" s="2072"/>
      <c r="E70" s="710"/>
      <c r="F70" s="1473">
        <f>G69</f>
        <v>35</v>
      </c>
      <c r="G70" s="1478">
        <f t="shared" si="2"/>
        <v>50</v>
      </c>
      <c r="H70" s="1479">
        <f t="shared" si="2"/>
        <v>0.06</v>
      </c>
      <c r="I70" s="1309"/>
      <c r="J70" s="1480">
        <f>$L$32*(H65+(G67-F67)*H67+(G68-F68)*H68+(G69-F69)*H69+(G70-F70)*H70)*$B$64*$C$64</f>
        <v>165.63522978503582</v>
      </c>
      <c r="K70" s="1477">
        <f>$M$32*(H65+(G67-F67)*H67+(G68-F68)*H68+(G69-F69)*H69+(G70-F70)*H70)*$B$64*$C$64</f>
        <v>13.802935815419652</v>
      </c>
      <c r="L70" s="1476">
        <f t="shared" si="3"/>
        <v>207.04403723129477</v>
      </c>
      <c r="M70" s="1477">
        <f t="shared" si="3"/>
        <v>17.253669769274566</v>
      </c>
      <c r="N70" s="408"/>
      <c r="O70" s="715">
        <v>287</v>
      </c>
      <c r="P70" s="417"/>
      <c r="Q70" s="261">
        <f>O70*$Q$63*M70+O70*(1-$Q$63)*K70</f>
        <v>4209.0327402145303</v>
      </c>
      <c r="R70" s="408"/>
      <c r="S70" s="719">
        <f>IF(AND(Q70&lt;&gt;0,O70&lt;&gt;0),Q70/(1+$D$17+$D$18+$D$19)/$H$15/O70/30/(($D$25*1000000/$D$8))*1000,0)</f>
        <v>8.139767724123443</v>
      </c>
      <c r="T70" s="417" t="s">
        <v>333</v>
      </c>
      <c r="U70" s="699">
        <f>S70*O70*30*$D$11*(1+$D$24)/1000</f>
        <v>11024.748915038097</v>
      </c>
      <c r="V70" s="417" t="s">
        <v>334</v>
      </c>
      <c r="W70" s="699">
        <f>IF(O70&lt;&gt;0,U70/O70,0)</f>
        <v>38.413759285847028</v>
      </c>
      <c r="X70" s="417" t="s">
        <v>335</v>
      </c>
      <c r="Y70" s="262" t="str">
        <f>IF(O70=0,"-",IF(AND(((F70*(1-$Y$63))&lt;W70),(W70&lt;(G70*(1+$Y$63)))),"OK", "NOK"))</f>
        <v>OK</v>
      </c>
      <c r="Z70" s="259">
        <f>W70/$H$15</f>
        <v>192.06879642923514</v>
      </c>
      <c r="AA70" s="227">
        <f>IF(OR(Y70="OK",Y70="-"),1,0)</f>
        <v>1</v>
      </c>
      <c r="AB70" s="409"/>
    </row>
    <row r="71" spans="1:28" s="237" customFormat="1" ht="24" hidden="1" customHeight="1" outlineLevel="1" x14ac:dyDescent="0.25">
      <c r="A71" s="408"/>
      <c r="B71" s="2073"/>
      <c r="C71" s="2073"/>
      <c r="D71" s="2073"/>
      <c r="E71" s="710"/>
      <c r="F71" s="1473">
        <f>G70</f>
        <v>50</v>
      </c>
      <c r="G71" s="1478">
        <f t="shared" si="2"/>
        <v>100</v>
      </c>
      <c r="H71" s="1479">
        <f t="shared" si="2"/>
        <v>0.05</v>
      </c>
      <c r="I71" s="1309"/>
      <c r="J71" s="1480">
        <f>$L$32*(H65+(G67-F67)*H67+(G68-F68)*H68+(G69-F69)*H69+(G70-F70)*H70+(G71-F71)*H71)*$B$64*$C$64</f>
        <v>288.32799258876605</v>
      </c>
      <c r="K71" s="1477">
        <f>$M$32*(H65+(G67-F67)*H67+(G68-F68)*H68+(G69-F69)*H69+(G70-F70)*H70+(G71-F71)*H71)*$B$64*$C$64</f>
        <v>24.027332715730505</v>
      </c>
      <c r="L71" s="1476">
        <f t="shared" si="3"/>
        <v>360.40999073595754</v>
      </c>
      <c r="M71" s="1477">
        <f t="shared" si="3"/>
        <v>30.034165894663133</v>
      </c>
      <c r="N71" s="408"/>
      <c r="O71" s="715">
        <v>100</v>
      </c>
      <c r="P71" s="417"/>
      <c r="Q71" s="261">
        <f>O71*$Q$63*M71+O71*(1-$Q$63)*K71</f>
        <v>2552.9041010463661</v>
      </c>
      <c r="R71" s="408"/>
      <c r="S71" s="719">
        <f>IF(AND(Q71&lt;&gt;0,O71&lt;&gt;0),Q71/(1+$D$17+$D$18+$D$19)/$H$15/O71/30/(($D$25*1000000/$D$8))*1000,0)</f>
        <v>14.169225297548218</v>
      </c>
      <c r="T71" s="417" t="s">
        <v>333</v>
      </c>
      <c r="U71" s="699">
        <f>S71*O71*30*$D$11*(1+$D$24)/1000</f>
        <v>6686.8395793881882</v>
      </c>
      <c r="V71" s="417" t="s">
        <v>334</v>
      </c>
      <c r="W71" s="699">
        <f>IF(O71&lt;&gt;0,U71/O71,0)</f>
        <v>66.868395793881888</v>
      </c>
      <c r="X71" s="417" t="s">
        <v>335</v>
      </c>
      <c r="Y71" s="262" t="str">
        <f>IF(O71=0,"-",IF(AND(((F71*(1-$Y$63))&lt;W71),(W71&lt;(G71*(1+$Y$63)))),"OK", "NOK"))</f>
        <v>OK</v>
      </c>
      <c r="Z71" s="259">
        <f>W71/$H$15</f>
        <v>334.34197896940941</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47" t="s">
        <v>707</v>
      </c>
      <c r="C73" s="2048"/>
      <c r="D73" s="2048"/>
      <c r="E73" s="2048"/>
      <c r="F73" s="2048"/>
      <c r="G73" s="2048"/>
      <c r="H73" s="2048"/>
      <c r="I73" s="2048"/>
      <c r="J73" s="2048"/>
      <c r="K73" s="2048"/>
      <c r="L73" s="2048"/>
      <c r="M73" s="2048"/>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34" t="s">
        <v>320</v>
      </c>
      <c r="C74" s="2040"/>
      <c r="D74" s="2040"/>
      <c r="E74" s="2041"/>
      <c r="F74" s="2040"/>
      <c r="G74" s="2040"/>
      <c r="H74" s="2040"/>
      <c r="I74" s="2041"/>
      <c r="J74" s="2040"/>
      <c r="K74" s="2040"/>
      <c r="L74" s="2040"/>
      <c r="M74" s="2040"/>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34" t="s">
        <v>321</v>
      </c>
      <c r="C75" s="2034" t="s">
        <v>322</v>
      </c>
      <c r="D75" s="2036"/>
      <c r="E75" s="1308"/>
      <c r="F75" s="2056" t="s">
        <v>323</v>
      </c>
      <c r="G75" s="2040"/>
      <c r="H75" s="2057"/>
      <c r="I75" s="709"/>
      <c r="J75" s="2037" t="s">
        <v>876</v>
      </c>
      <c r="K75" s="2038"/>
      <c r="L75" s="2038"/>
      <c r="M75" s="2038"/>
      <c r="N75" s="408"/>
      <c r="O75" s="240">
        <f>O78+O80+O81+O82+O83+O84</f>
        <v>27440</v>
      </c>
      <c r="P75" s="417"/>
      <c r="Q75" s="717">
        <f>Q78+Q80+Q81+Q82+Q83+Q84</f>
        <v>1408145.6055281791</v>
      </c>
      <c r="R75" s="408"/>
      <c r="S75" s="2039">
        <f>IF(AND(Q75&lt;&gt;0,O75&lt;&gt;0),Q75/(1+$D$17+$D$18+$D$19)/(($D$25*1000000/$D$8)),0)</f>
        <v>4689.3259315859086</v>
      </c>
      <c r="T75" s="2042" t="s">
        <v>324</v>
      </c>
      <c r="U75" s="2039">
        <f>U78+U80+U81+U82+U83+U84</f>
        <v>737673.1280057088</v>
      </c>
      <c r="V75" s="417" t="s">
        <v>325</v>
      </c>
      <c r="W75" s="2039">
        <f>W78*O78+W80*O80+W81*O81+W82*O82+W83*O83+W84*O84</f>
        <v>737673.1280057088</v>
      </c>
      <c r="X75" s="417" t="s">
        <v>325</v>
      </c>
      <c r="Y75" s="694" t="s">
        <v>326</v>
      </c>
      <c r="Z75" s="139"/>
      <c r="AA75" s="139"/>
      <c r="AB75" s="423"/>
    </row>
    <row r="76" spans="1:28" s="237" customFormat="1" ht="24" hidden="1" customHeight="1" outlineLevel="1" x14ac:dyDescent="0.25">
      <c r="A76" s="409"/>
      <c r="B76" s="2035"/>
      <c r="C76" s="1418" t="s">
        <v>327</v>
      </c>
      <c r="D76" s="1419" t="s">
        <v>328</v>
      </c>
      <c r="E76" s="1309"/>
      <c r="F76" s="2058"/>
      <c r="G76" s="2040"/>
      <c r="H76" s="2057"/>
      <c r="I76" s="710"/>
      <c r="J76" s="2059" t="s">
        <v>329</v>
      </c>
      <c r="K76" s="2060"/>
      <c r="L76" s="2061" t="s">
        <v>330</v>
      </c>
      <c r="M76" s="2060"/>
      <c r="N76" s="408"/>
      <c r="O76" s="722" t="s">
        <v>331</v>
      </c>
      <c r="P76" s="417"/>
      <c r="Q76" s="718">
        <v>0.5</v>
      </c>
      <c r="R76" s="408"/>
      <c r="S76" s="1980"/>
      <c r="T76" s="2043"/>
      <c r="U76" s="1980"/>
      <c r="V76" s="417"/>
      <c r="W76" s="1979"/>
      <c r="X76" s="417"/>
      <c r="Y76" s="721">
        <f>$Y$33</f>
        <v>0.1</v>
      </c>
      <c r="Z76" s="139"/>
      <c r="AA76" s="139"/>
      <c r="AB76" s="423"/>
    </row>
    <row r="77" spans="1:28" s="237" customFormat="1" ht="24" hidden="1" customHeight="1" outlineLevel="1" x14ac:dyDescent="0.25">
      <c r="A77" s="409"/>
      <c r="B77" s="2029">
        <v>2</v>
      </c>
      <c r="C77" s="2029">
        <v>1</v>
      </c>
      <c r="D77" s="2032">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0"/>
      <c r="C78" s="2069"/>
      <c r="D78" s="2070"/>
      <c r="E78" s="710"/>
      <c r="F78" s="1473" t="s">
        <v>289</v>
      </c>
      <c r="G78" s="1474">
        <v>5</v>
      </c>
      <c r="H78" s="1475">
        <f>0.35-0.25</f>
        <v>9.9999999999999978E-2</v>
      </c>
      <c r="I78" s="1309"/>
      <c r="J78" s="1476">
        <f>$L$32*H78*$B$77*$C$77</f>
        <v>49.077105121492082</v>
      </c>
      <c r="K78" s="1477">
        <f>$M$32*H78*$B$77*$C$77</f>
        <v>4.0897587601243401</v>
      </c>
      <c r="L78" s="1476">
        <f>J78*$D$77</f>
        <v>61.346381401865102</v>
      </c>
      <c r="M78" s="1477">
        <f>K78*$D$77</f>
        <v>5.1121984501554252</v>
      </c>
      <c r="N78" s="408"/>
      <c r="O78" s="715">
        <v>7692</v>
      </c>
      <c r="P78" s="417"/>
      <c r="Q78" s="261">
        <f>O78*$Q$76*M78+O78*(1-$Q$76)*K78</f>
        <v>35390.727430735977</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030"/>
      <c r="C79" s="2069"/>
      <c r="D79" s="2070"/>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0"/>
      <c r="C80" s="2069"/>
      <c r="D80" s="2070"/>
      <c r="E80" s="710"/>
      <c r="F80" s="1473">
        <f>G78</f>
        <v>5</v>
      </c>
      <c r="G80" s="1474">
        <v>20</v>
      </c>
      <c r="H80" s="1475">
        <f>0.05</f>
        <v>0.05</v>
      </c>
      <c r="I80" s="1309"/>
      <c r="J80" s="1476">
        <f>$L$32*(H78+(G80-F80)*H80)*$B$77*$C$77</f>
        <v>417.15539353268281</v>
      </c>
      <c r="K80" s="1477">
        <f>$M$32*(H78+(G80-F80)*H80)*$B$77*$C$77</f>
        <v>34.762949461056898</v>
      </c>
      <c r="L80" s="1476">
        <f t="shared" ref="L80:M84" si="4">J80*$D$77</f>
        <v>521.44424191585347</v>
      </c>
      <c r="M80" s="1477">
        <f t="shared" si="4"/>
        <v>43.453686826321125</v>
      </c>
      <c r="N80" s="408"/>
      <c r="O80" s="715">
        <v>8500</v>
      </c>
      <c r="P80" s="417"/>
      <c r="Q80" s="261">
        <f>O80*$Q$76*M80+O80*(1-$Q$76)*K80</f>
        <v>332420.7042213566</v>
      </c>
      <c r="R80" s="408"/>
      <c r="S80" s="719">
        <f>IF(AND(Q80&lt;&gt;0,O80&lt;&gt;0),Q80/(1+$D$17+$D$18+$D$19)/O80/30/(($D$25*1000000/$D$8))*1000,0)</f>
        <v>4.3412094528658374</v>
      </c>
      <c r="T80" s="417" t="s">
        <v>333</v>
      </c>
      <c r="U80" s="699">
        <f>S80*O80*30*$D$11*(1+$D$24)/1000</f>
        <v>174142.37542917323</v>
      </c>
      <c r="V80" s="417" t="s">
        <v>334</v>
      </c>
      <c r="W80" s="699">
        <f>IF(O80&lt;&gt;0,U80/O80,0)</f>
        <v>20.487338285785086</v>
      </c>
      <c r="X80" s="417" t="s">
        <v>334</v>
      </c>
      <c r="Y80" s="262" t="str">
        <f>IF(O80=0,"-",IF(AND(((F80*(1-$Y$76))&lt;W80),(W80&lt;(G80*(1+$Y$76)))),"OK", "NOK"))</f>
        <v>OK</v>
      </c>
      <c r="Z80" s="139"/>
      <c r="AA80" s="227">
        <f>IF(OR(Y80="OK",Y80="-"),1,0)</f>
        <v>1</v>
      </c>
      <c r="AB80" s="423"/>
    </row>
    <row r="81" spans="1:28" s="237" customFormat="1" ht="24" hidden="1" customHeight="1" outlineLevel="1" x14ac:dyDescent="0.25">
      <c r="A81" s="408"/>
      <c r="B81" s="2030"/>
      <c r="C81" s="2069"/>
      <c r="D81" s="2070"/>
      <c r="E81" s="710"/>
      <c r="F81" s="1473">
        <f>G80</f>
        <v>20</v>
      </c>
      <c r="G81" s="1474">
        <v>30</v>
      </c>
      <c r="H81" s="1475">
        <f>0.045</f>
        <v>4.4999999999999998E-2</v>
      </c>
      <c r="I81" s="1309"/>
      <c r="J81" s="1476">
        <f>$L$32*(H78+(G80-F80)*H80+(G81-F81)*H81)*$B$77*$C$77</f>
        <v>638.00236657939718</v>
      </c>
      <c r="K81" s="1477">
        <f>$M$32*(H78+(G80-F80)*H80+(G81-F81)*H81)*$B$77*$C$77</f>
        <v>53.166863881616422</v>
      </c>
      <c r="L81" s="1476">
        <f t="shared" si="4"/>
        <v>797.50295822424641</v>
      </c>
      <c r="M81" s="1477">
        <f t="shared" si="4"/>
        <v>66.458579852020534</v>
      </c>
      <c r="N81" s="408"/>
      <c r="O81" s="715">
        <v>2573</v>
      </c>
      <c r="P81" s="417"/>
      <c r="Q81" s="261">
        <f>O81*$Q$76*M81+O81*(1-$Q$76)*K81</f>
        <v>153898.13336332393</v>
      </c>
      <c r="R81" s="408"/>
      <c r="S81" s="719">
        <f>IF(AND(Q81&lt;&gt;0,O81&lt;&gt;0),Q81/(1+$D$17+$D$18+$D$19)/O81/30/(($D$25*1000000/$D$8))*1000,0)</f>
        <v>6.6394968102653937</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030"/>
      <c r="C82" s="2069"/>
      <c r="D82" s="2070"/>
      <c r="E82" s="710"/>
      <c r="F82" s="1473">
        <f>G81</f>
        <v>30</v>
      </c>
      <c r="G82" s="1474">
        <v>40</v>
      </c>
      <c r="H82" s="1475">
        <f>0.04</f>
        <v>0.04</v>
      </c>
      <c r="I82" s="1309"/>
      <c r="J82" s="1476">
        <f>$L$32*(H78+(G80-F80)*H80+(G81-F81)*H81+(G82-F82)*H82)*$B$77*$C$77</f>
        <v>834.3107870653655</v>
      </c>
      <c r="K82" s="1477">
        <f>$M$32*(H78+(G80-F80)*H80+(G81-F81)*H81+(G82-F82)*H82)*$B$77*$C$77</f>
        <v>69.525898922113782</v>
      </c>
      <c r="L82" s="1476">
        <f t="shared" si="4"/>
        <v>1042.8884838317069</v>
      </c>
      <c r="M82" s="1477">
        <f t="shared" si="4"/>
        <v>86.907373652642235</v>
      </c>
      <c r="N82" s="408"/>
      <c r="O82" s="715">
        <v>4825</v>
      </c>
      <c r="P82" s="417"/>
      <c r="Q82" s="261">
        <f>O82*$Q$76*M82+O82*(1-$Q$76)*K82</f>
        <v>377395.27008659893</v>
      </c>
      <c r="R82" s="408"/>
      <c r="S82" s="719">
        <f>IF(AND(Q82&lt;&gt;0,O82&lt;&gt;0),Q82/(1+$D$17+$D$18+$D$19)/O82/30/(($D$25*1000000/$D$8))*1000,0)</f>
        <v>8.682418905731673</v>
      </c>
      <c r="T82" s="417" t="s">
        <v>333</v>
      </c>
      <c r="U82" s="699">
        <f>S82*O82*30*$D$11*(1+$D$24)/1000</f>
        <v>197702.81445782608</v>
      </c>
      <c r="V82" s="417" t="s">
        <v>334</v>
      </c>
      <c r="W82" s="699">
        <f>IF(O82&lt;&gt;0,U82/O82,0)</f>
        <v>40.974676571570171</v>
      </c>
      <c r="X82" s="417" t="s">
        <v>334</v>
      </c>
      <c r="Y82" s="262" t="str">
        <f>IF(O82=0,"-",IF(AND(((F82*(1-$Y$76))&lt;W82),(W82&lt;(G82*(1+$Y$76)))),"OK", "NOK"))</f>
        <v>OK</v>
      </c>
      <c r="Z82" s="139"/>
      <c r="AA82" s="227">
        <f>IF(OR(Y82="OK",Y82="-"),1,0)</f>
        <v>1</v>
      </c>
      <c r="AB82" s="423"/>
    </row>
    <row r="83" spans="1:28" s="237" customFormat="1" ht="24" hidden="1" customHeight="1" outlineLevel="1" x14ac:dyDescent="0.25">
      <c r="A83" s="408"/>
      <c r="B83" s="2030"/>
      <c r="C83" s="2069"/>
      <c r="D83" s="2070"/>
      <c r="E83" s="710"/>
      <c r="F83" s="1473">
        <f>G82</f>
        <v>40</v>
      </c>
      <c r="G83" s="1474">
        <v>55</v>
      </c>
      <c r="H83" s="1475">
        <f>0.035</f>
        <v>3.5000000000000003E-2</v>
      </c>
      <c r="I83" s="1309"/>
      <c r="J83" s="1476">
        <f>$L$32*(H78+(G80-F80)*H80+(G81-F81)*H81+(G82-F82)*H82+(G83-F83)*H83)*$B$77*$C$77</f>
        <v>1091.9655889531989</v>
      </c>
      <c r="K83" s="1477">
        <f>$M$32*(H78+(G80-F80)*H80+(G81-F81)*H81+(G82-F82)*H82+(G83-F83)*H83)*$B$77*$C$77</f>
        <v>90.997132412766575</v>
      </c>
      <c r="L83" s="1476">
        <f t="shared" si="4"/>
        <v>1364.9569861914986</v>
      </c>
      <c r="M83" s="1477">
        <f t="shared" si="4"/>
        <v>113.74641551595822</v>
      </c>
      <c r="N83" s="408"/>
      <c r="O83" s="715">
        <v>2000</v>
      </c>
      <c r="P83" s="417"/>
      <c r="Q83" s="261">
        <f>O83*$Q$76*M83+O83*(1-$Q$76)*K83</f>
        <v>204743.54792872479</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030"/>
      <c r="C84" s="2069"/>
      <c r="D84" s="2070"/>
      <c r="E84" s="710"/>
      <c r="F84" s="1473">
        <f>G83</f>
        <v>55</v>
      </c>
      <c r="G84" s="1474">
        <v>100</v>
      </c>
      <c r="H84" s="1475">
        <f>0.03</f>
        <v>0.03</v>
      </c>
      <c r="I84" s="1309"/>
      <c r="J84" s="1476">
        <f>$L$32*(H78+(G80-F80)*H80+(G81-F81)*H81+(G82-F82)*H82+(G83-F83)*H83+(G84-F84)*H84)*$B$77*$C$77</f>
        <v>1754.5065080933421</v>
      </c>
      <c r="K84" s="1477">
        <f>$M$32*(H78+(G80-F80)*H80+(G81-F81)*H81+(G82-F82)*H82+(G83-F83)*H83+(G84-F84)*H84)*$B$77*$C$77</f>
        <v>146.20887567444515</v>
      </c>
      <c r="L84" s="1476">
        <f t="shared" si="4"/>
        <v>2193.1331351166777</v>
      </c>
      <c r="M84" s="1477">
        <f t="shared" si="4"/>
        <v>182.76109459305644</v>
      </c>
      <c r="N84" s="408"/>
      <c r="O84" s="715">
        <v>1850</v>
      </c>
      <c r="P84" s="417"/>
      <c r="Q84" s="261">
        <f>O84*$Q$76*M84+O84*(1-$Q$76)*K84</f>
        <v>304297.22249743901</v>
      </c>
      <c r="R84" s="408"/>
      <c r="S84" s="719">
        <f>IF(AND(Q84&lt;&gt;0,O84&lt;&gt;0),Q84/(1+$D$17+$D$18+$D$19)/O84/30/(($D$25*1000000/$D$8))*1000,0)</f>
        <v>18.25861622822984</v>
      </c>
      <c r="T84" s="417" t="s">
        <v>333</v>
      </c>
      <c r="U84" s="699">
        <f>S84*O84*30*$D$11*(1+$D$24)/1000</f>
        <v>159409.56892660129</v>
      </c>
      <c r="V84" s="417" t="s">
        <v>334</v>
      </c>
      <c r="W84" s="699">
        <f>IF(O84&lt;&gt;0,U84/O84,0)</f>
        <v>86.16733455491962</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47" t="s">
        <v>338</v>
      </c>
      <c r="C86" s="2048"/>
      <c r="D86" s="2048"/>
      <c r="E86" s="2048"/>
      <c r="F86" s="2048"/>
      <c r="G86" s="2048"/>
      <c r="H86" s="2048"/>
      <c r="I86" s="2048"/>
      <c r="J86" s="2048"/>
      <c r="K86" s="2048"/>
      <c r="L86" s="2048"/>
      <c r="M86" s="2048"/>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34" t="s">
        <v>320</v>
      </c>
      <c r="C87" s="2040"/>
      <c r="D87" s="2040"/>
      <c r="E87" s="2041"/>
      <c r="F87" s="2040"/>
      <c r="G87" s="2040"/>
      <c r="H87" s="2040"/>
      <c r="I87" s="2041"/>
      <c r="J87" s="2040"/>
      <c r="K87" s="2040"/>
      <c r="L87" s="2040"/>
      <c r="M87" s="2040"/>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34" t="s">
        <v>321</v>
      </c>
      <c r="C88" s="2034" t="s">
        <v>322</v>
      </c>
      <c r="D88" s="2036"/>
      <c r="E88" s="1308"/>
      <c r="F88" s="2056" t="s">
        <v>323</v>
      </c>
      <c r="G88" s="2040"/>
      <c r="H88" s="2057"/>
      <c r="I88" s="709"/>
      <c r="J88" s="2037" t="s">
        <v>876</v>
      </c>
      <c r="K88" s="2038"/>
      <c r="L88" s="2038"/>
      <c r="M88" s="2038"/>
      <c r="N88" s="408"/>
      <c r="O88" s="262">
        <f>O91+O93+O94+O95+O96</f>
        <v>5</v>
      </c>
      <c r="P88" s="417"/>
      <c r="Q88" s="717">
        <f>Q91+Q93+Q94+Q95+Q96</f>
        <v>1192.1646785762455</v>
      </c>
      <c r="R88" s="408"/>
      <c r="S88" s="2039">
        <f>IF(AND(Q88&lt;&gt;0,O88&lt;&gt;0),Q88/(1+$D$17+$D$18+$D$19)/(($D$25*1000000/$D$8)),0)</f>
        <v>3.9700786055227959</v>
      </c>
      <c r="T88" s="2042" t="s">
        <v>324</v>
      </c>
      <c r="U88" s="2039">
        <f>U91+U93+U94+U95+U96+Z97</f>
        <v>624.52905728693872</v>
      </c>
      <c r="V88" s="408" t="s">
        <v>325</v>
      </c>
      <c r="W88" s="2039">
        <f>W91*O91+W93*O93+W94*O94+W95*O95+W96*O96</f>
        <v>624.52905728693872</v>
      </c>
      <c r="X88" s="417" t="s">
        <v>325</v>
      </c>
      <c r="Y88" s="694" t="s">
        <v>326</v>
      </c>
      <c r="Z88" s="139"/>
      <c r="AA88" s="139"/>
      <c r="AB88" s="423"/>
    </row>
    <row r="89" spans="1:28" s="237" customFormat="1" ht="24" hidden="1" customHeight="1" outlineLevel="1" x14ac:dyDescent="0.25">
      <c r="A89" s="408"/>
      <c r="B89" s="2035"/>
      <c r="C89" s="1418" t="s">
        <v>327</v>
      </c>
      <c r="D89" s="1419" t="s">
        <v>328</v>
      </c>
      <c r="E89" s="1309"/>
      <c r="F89" s="2058"/>
      <c r="G89" s="2040"/>
      <c r="H89" s="2057"/>
      <c r="I89" s="710"/>
      <c r="J89" s="2059" t="s">
        <v>329</v>
      </c>
      <c r="K89" s="2060"/>
      <c r="L89" s="2061" t="s">
        <v>330</v>
      </c>
      <c r="M89" s="2060"/>
      <c r="N89" s="408"/>
      <c r="O89" s="722" t="s">
        <v>331</v>
      </c>
      <c r="P89" s="417"/>
      <c r="Q89" s="718">
        <v>0.25</v>
      </c>
      <c r="R89" s="408"/>
      <c r="S89" s="1980"/>
      <c r="T89" s="2043"/>
      <c r="U89" s="1980"/>
      <c r="V89" s="408"/>
      <c r="W89" s="1979"/>
      <c r="X89" s="417"/>
      <c r="Y89" s="721">
        <f>$Y$33</f>
        <v>0.1</v>
      </c>
      <c r="Z89" s="139"/>
      <c r="AA89" s="139"/>
      <c r="AB89" s="423"/>
    </row>
    <row r="90" spans="1:28" s="237" customFormat="1" ht="24" hidden="1" customHeight="1" outlineLevel="1" x14ac:dyDescent="0.25">
      <c r="A90" s="408"/>
      <c r="B90" s="2029">
        <v>2</v>
      </c>
      <c r="C90" s="2029">
        <v>1</v>
      </c>
      <c r="D90" s="2032">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0"/>
      <c r="C91" s="2031"/>
      <c r="D91" s="2033"/>
      <c r="E91" s="710"/>
      <c r="F91" s="1473" t="s">
        <v>289</v>
      </c>
      <c r="G91" s="1474">
        <v>5</v>
      </c>
      <c r="H91" s="1475">
        <v>0.35</v>
      </c>
      <c r="I91" s="1309"/>
      <c r="J91" s="1476">
        <f>$L$32*H91*$B$90*$C$90</f>
        <v>171.76986792522231</v>
      </c>
      <c r="K91" s="1477">
        <f>$M$32*H91*$B$90*$C$90</f>
        <v>14.314155660435192</v>
      </c>
      <c r="L91" s="1476">
        <f>J91*$D$90</f>
        <v>206.12384151026677</v>
      </c>
      <c r="M91" s="1477">
        <f>K91*$D$90</f>
        <v>17.176986792522229</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0"/>
      <c r="C92" s="2031"/>
      <c r="D92" s="2033"/>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0"/>
      <c r="C93" s="2031"/>
      <c r="D93" s="2033"/>
      <c r="E93" s="710"/>
      <c r="F93" s="1473">
        <f>G91</f>
        <v>5</v>
      </c>
      <c r="G93" s="1474">
        <v>30</v>
      </c>
      <c r="H93" s="1475">
        <v>0.05</v>
      </c>
      <c r="I93" s="1309"/>
      <c r="J93" s="1476">
        <f>$L$32*(H91+(G93-F93)*H93)*$B$90*$C$90</f>
        <v>785.23368194387353</v>
      </c>
      <c r="K93" s="1477">
        <f>$M$32*(H91+(G93-F93)*H93)*$B$90*$C$90</f>
        <v>65.436140161989456</v>
      </c>
      <c r="L93" s="1476">
        <f t="shared" ref="L93:M96" si="5">J93*$D$90</f>
        <v>942.2804183326482</v>
      </c>
      <c r="M93" s="1477">
        <f t="shared" si="5"/>
        <v>78.523368194387345</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0"/>
      <c r="C94" s="2031"/>
      <c r="D94" s="2033"/>
      <c r="E94" s="710"/>
      <c r="F94" s="1473">
        <f>G93</f>
        <v>30</v>
      </c>
      <c r="G94" s="1474">
        <v>100</v>
      </c>
      <c r="H94" s="1475">
        <v>0.03</v>
      </c>
      <c r="I94" s="1309"/>
      <c r="J94" s="1476">
        <f>$L$32*(H91+(G93-F93)*H93+(G94-F94)*H94)*$B$90*$C$90</f>
        <v>1815.8528894952076</v>
      </c>
      <c r="K94" s="1477">
        <f>$M$32*(H91+(G93-F93)*H93+(G94-F94)*H94)*$B$90*$C$90</f>
        <v>151.32107412460061</v>
      </c>
      <c r="L94" s="1476">
        <f t="shared" si="5"/>
        <v>2179.0234673942491</v>
      </c>
      <c r="M94" s="1477">
        <f t="shared" si="5"/>
        <v>181.58528894952073</v>
      </c>
      <c r="N94" s="408"/>
      <c r="O94" s="715">
        <v>4</v>
      </c>
      <c r="P94" s="417"/>
      <c r="Q94" s="261">
        <f>O94*$Q$76*M94+O94*(1-$Q$76)*K94</f>
        <v>665.81272614824275</v>
      </c>
      <c r="R94" s="408"/>
      <c r="S94" s="719">
        <f>IF(AND(Q94&lt;&gt;0,O94&lt;&gt;0),Q94/(1+$D$17+$D$18+$D$19)/O94/30/(($D$25*1000000/$D$8))*1000,0)</f>
        <v>18.477095396772764</v>
      </c>
      <c r="T94" s="417" t="s">
        <v>333</v>
      </c>
      <c r="U94" s="699">
        <f>S94*O94*30*$D$11*(1+$D$24)/1000</f>
        <v>348.79358671119599</v>
      </c>
      <c r="V94" s="408" t="s">
        <v>334</v>
      </c>
      <c r="W94" s="699">
        <f>IF(O94&lt;&gt;0,U94/O94,0)</f>
        <v>87.198396677798996</v>
      </c>
      <c r="X94" s="417" t="s">
        <v>334</v>
      </c>
      <c r="Y94" s="240" t="str">
        <f>IF(O94=0,"-",IF(AND(((F94*(1-$Y$89))&lt;W94),(W94&lt;(G94*(1+$Y$89)))),"OK", "NOK"))</f>
        <v>OK</v>
      </c>
      <c r="Z94" s="139"/>
      <c r="AA94" s="227">
        <f>IF(OR(Y94="OK",Y94="-"),1,0)</f>
        <v>1</v>
      </c>
      <c r="AB94" s="423"/>
    </row>
    <row r="95" spans="1:28" s="237" customFormat="1" ht="24" hidden="1" customHeight="1" outlineLevel="1" x14ac:dyDescent="0.25">
      <c r="A95" s="408"/>
      <c r="B95" s="2030"/>
      <c r="C95" s="2031"/>
      <c r="D95" s="2033"/>
      <c r="E95" s="710"/>
      <c r="F95" s="1473">
        <f>G94</f>
        <v>100</v>
      </c>
      <c r="G95" s="1474">
        <v>500</v>
      </c>
      <c r="H95" s="1475">
        <v>0.02</v>
      </c>
      <c r="I95" s="1309"/>
      <c r="J95" s="1476">
        <f>$L$32*(H91+(G93-F93)*H93+(G94-F94)*H94+(G95-F95)*H95)*$B$90*$C$90</f>
        <v>5742.0212992145744</v>
      </c>
      <c r="K95" s="1477">
        <f>$M$32*(H91+(G93-F93)*H93+(G94-F94)*H94+(G95-F95)*H95)*$B$90*$C$90</f>
        <v>478.50177493454783</v>
      </c>
      <c r="L95" s="1476">
        <f t="shared" si="5"/>
        <v>6890.4255590574894</v>
      </c>
      <c r="M95" s="1477">
        <f t="shared" si="5"/>
        <v>574.20212992145741</v>
      </c>
      <c r="N95" s="408"/>
      <c r="O95" s="715">
        <v>1</v>
      </c>
      <c r="P95" s="417"/>
      <c r="Q95" s="261">
        <f>O95*$Q$76*M95+O95*(1-$Q$76)*K95</f>
        <v>526.35195242800262</v>
      </c>
      <c r="R95" s="408"/>
      <c r="S95" s="719">
        <f>IF(AND(Q95&lt;&gt;0,O95&lt;&gt;0),Q95/(1+$D$17+$D$18+$D$19)/O95/30/(($D$25*1000000/$D$8))*1000,0)</f>
        <v>58.427571930335489</v>
      </c>
      <c r="T95" s="417" t="s">
        <v>333</v>
      </c>
      <c r="U95" s="699">
        <f>S95*O95*30*$D$11*(1+$D$24)/1000</f>
        <v>275.7354705757428</v>
      </c>
      <c r="V95" s="408" t="s">
        <v>334</v>
      </c>
      <c r="W95" s="699">
        <f>IF(O95&lt;&gt;0,U95/O95,0)</f>
        <v>275.7354705757428</v>
      </c>
      <c r="X95" s="417" t="s">
        <v>334</v>
      </c>
      <c r="Y95" s="240" t="str">
        <f>IF(O95=0,"-",IF(AND(((F95*(1-$Y$89))&lt;W95),(W95&lt;(G95*(1+$Y$89)))),"OK", "NOK"))</f>
        <v>OK</v>
      </c>
      <c r="Z95" s="139"/>
      <c r="AA95" s="227">
        <f>IF(OR(Y95="OK",Y95="-"),1,0)</f>
        <v>1</v>
      </c>
      <c r="AB95" s="423"/>
    </row>
    <row r="96" spans="1:28" s="237" customFormat="1" ht="24" hidden="1" customHeight="1" outlineLevel="1" x14ac:dyDescent="0.25">
      <c r="A96" s="408"/>
      <c r="B96" s="2030"/>
      <c r="C96" s="2031"/>
      <c r="D96" s="2033"/>
      <c r="E96" s="710"/>
      <c r="F96" s="1473">
        <f>G95</f>
        <v>500</v>
      </c>
      <c r="G96" s="1474">
        <v>1000</v>
      </c>
      <c r="H96" s="1475">
        <v>0.01</v>
      </c>
      <c r="I96" s="1309"/>
      <c r="J96" s="1476">
        <f>$L$32*(H91+(G93-F93)*H93+(G94-F94)*H94+(G95-F95)*H95+(G96-F96)*H96)*$B$90*$C$90</f>
        <v>8195.87655528918</v>
      </c>
      <c r="K96" s="1477">
        <f>$M$32*(H91+(G93-F93)*H93+(G94-F94)*H94+(G95-F95)*H95+(G96-F96)*H96)*$B$90*$C$90</f>
        <v>682.98971294076489</v>
      </c>
      <c r="L96" s="1476">
        <f t="shared" si="5"/>
        <v>9835.0518663470157</v>
      </c>
      <c r="M96" s="1477">
        <f t="shared" si="5"/>
        <v>819.58765552891782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082" t="s">
        <v>777</v>
      </c>
      <c r="C2" s="2082"/>
      <c r="D2" s="2082"/>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2"/>
      <c r="C3" s="2082"/>
      <c r="D3" s="2082"/>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2"/>
      <c r="C4" s="2082"/>
      <c r="D4" s="2082"/>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1007</v>
      </c>
      <c r="D6" s="1726" t="s">
        <v>1006</v>
      </c>
      <c r="E6" s="1277"/>
      <c r="F6" s="2079" t="s">
        <v>340</v>
      </c>
      <c r="G6" s="2080"/>
      <c r="H6" s="2081"/>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5.1514348342607263E-14</v>
      </c>
      <c r="H8" s="1714">
        <f>SUMIF(C33:BC33,1,C178:BC178)</f>
        <v>4.6185277824406512E-14</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71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-9.7400000000001333E-2</v>
      </c>
      <c r="H10" s="1717">
        <f>H9-C28</f>
        <v>0.16569959438654508</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205.38278905364507</v>
      </c>
      <c r="H11" s="1719">
        <f>SUMIF(C33:BC33,1,C63:BC63)</f>
        <v>205.38278905364507</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1007</v>
      </c>
      <c r="D12" s="1728" t="s">
        <v>1006</v>
      </c>
      <c r="F12" s="1715" t="s">
        <v>348</v>
      </c>
      <c r="G12" s="1716">
        <f>G8/G11</f>
        <v>2.5082115487852271E-16</v>
      </c>
      <c r="H12" s="1717">
        <f>H8/H11</f>
        <v>2.2487413885660655E-16</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34.999999999999986</v>
      </c>
      <c r="H13" s="1722">
        <f>IF(H8&lt;0,SUM(C183:BC183),SUM(C183:BC183))</f>
        <v>35.234385344353349</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1.0000000000000002</v>
      </c>
      <c r="H14" s="1725">
        <f>(SUMIF(C33:BC33,1,C178:BC178)+SUMIF(C33:BC33,1,C63:BC63))/SUMIF(C33:BC33,1,C63:BC63)</f>
        <v>1.0000000000000002</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3"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4"/>
      <c r="G17" s="2097" t="s">
        <v>781</v>
      </c>
      <c r="H17" s="2099"/>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4"/>
      <c r="G18" s="2098"/>
      <c r="H18" s="2100"/>
      <c r="I18" s="1691"/>
      <c r="J18" s="1264"/>
      <c r="K18" s="268"/>
      <c r="L18" s="268"/>
      <c r="M18" s="268"/>
      <c r="N18" s="268"/>
      <c r="O18" s="268"/>
      <c r="P18" s="268"/>
      <c r="Q18" s="268"/>
      <c r="R18" s="268"/>
      <c r="S18" s="270"/>
    </row>
    <row r="19" spans="1:58" s="192" customFormat="1" ht="2.65" customHeight="1" outlineLevel="1" x14ac:dyDescent="0.25">
      <c r="B19" s="1274"/>
      <c r="C19" s="1703"/>
      <c r="D19" s="1682"/>
      <c r="F19" s="2094"/>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1010</v>
      </c>
      <c r="D20" s="1747" t="s">
        <v>1010</v>
      </c>
      <c r="F20" s="2094"/>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4"/>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4"/>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5"/>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096" t="s">
        <v>1008</v>
      </c>
      <c r="G26" s="2088"/>
      <c r="H26" s="1265">
        <f>'R&amp;C-Painel de Controle'!D33</f>
        <v>237.54494967426146</v>
      </c>
      <c r="I26" s="1395" t="s">
        <v>246</v>
      </c>
      <c r="J26" s="1394"/>
      <c r="K26" s="2087" t="s">
        <v>604</v>
      </c>
      <c r="L26" s="2088"/>
      <c r="M26" s="1266">
        <f>G8</f>
        <v>5.1514348342607263E-14</v>
      </c>
      <c r="N26" s="1395" t="s">
        <v>255</v>
      </c>
      <c r="O26" s="2077" t="s">
        <v>605</v>
      </c>
      <c r="P26" s="2077"/>
      <c r="Q26" s="2078"/>
      <c r="R26" s="1267">
        <f>G14</f>
        <v>1.0000000000000002</v>
      </c>
      <c r="S26" s="1397" t="s">
        <v>194</v>
      </c>
      <c r="T26" s="268"/>
    </row>
    <row r="27" spans="1:58" s="192" customFormat="1" ht="19.899999999999999" customHeight="1" outlineLevel="1" thickTop="1" x14ac:dyDescent="0.25">
      <c r="B27" s="1674" t="s">
        <v>352</v>
      </c>
      <c r="C27" s="1710" t="s">
        <v>240</v>
      </c>
      <c r="D27" s="1730" t="s">
        <v>240</v>
      </c>
      <c r="F27" s="2092" t="s">
        <v>606</v>
      </c>
      <c r="G27" s="2090"/>
      <c r="H27" s="735">
        <f>'R&amp;C-Painel de Controle'!D32</f>
        <v>35</v>
      </c>
      <c r="I27" s="1396" t="s">
        <v>339</v>
      </c>
      <c r="J27" s="1274"/>
      <c r="K27" s="2089" t="s">
        <v>607</v>
      </c>
      <c r="L27" s="2090"/>
      <c r="M27" s="736">
        <f>G9</f>
        <v>-1.3322676295501878E-15</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3" t="s">
        <v>608</v>
      </c>
      <c r="G28" s="2084"/>
      <c r="H28" s="1736">
        <f>H26*('R&amp;C-Painel de Controle'!D7*30/'R&amp;C-Painel de Controle'!D6)</f>
        <v>8.102016388987046</v>
      </c>
      <c r="I28" s="1737" t="s">
        <v>250</v>
      </c>
      <c r="J28" s="1274"/>
      <c r="K28" s="2091" t="s">
        <v>609</v>
      </c>
      <c r="L28" s="2084"/>
      <c r="M28" s="1738">
        <f>G13</f>
        <v>34.999999999999986</v>
      </c>
      <c r="N28" s="1396" t="s">
        <v>339</v>
      </c>
      <c r="O28" s="1274"/>
      <c r="P28" s="1274"/>
      <c r="Q28" s="1274"/>
      <c r="R28" s="1274"/>
      <c r="S28" s="1399"/>
      <c r="T28" s="268"/>
    </row>
    <row r="29" spans="1:58" s="192" customFormat="1" ht="18" customHeight="1" outlineLevel="1" thickTop="1" thickBot="1" x14ac:dyDescent="0.3">
      <c r="B29" s="290"/>
      <c r="F29" s="2085" t="s">
        <v>1009</v>
      </c>
      <c r="G29" s="2086"/>
      <c r="H29" s="1739">
        <f>'R&amp;C-Painel de Controle'!H33</f>
        <v>254.60848243040007</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Sim</v>
      </c>
      <c r="D43" s="291">
        <f>'R&amp;C-Painel de Controle'!H58</f>
        <v>55364.88461538461</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55625.099573076914</v>
      </c>
      <c r="G45" s="299">
        <f t="shared" si="13"/>
        <v>55625.099573076914</v>
      </c>
      <c r="H45" s="299">
        <f t="shared" si="13"/>
        <v>55625.099573076914</v>
      </c>
      <c r="I45" s="299">
        <f t="shared" si="13"/>
        <v>55625.099573076914</v>
      </c>
      <c r="J45" s="299">
        <f t="shared" si="13"/>
        <v>55625.099573076914</v>
      </c>
      <c r="K45" s="299">
        <f t="shared" si="13"/>
        <v>55625.099573076914</v>
      </c>
      <c r="L45" s="299">
        <f t="shared" si="13"/>
        <v>55625.099573076914</v>
      </c>
      <c r="M45" s="299">
        <f t="shared" si="13"/>
        <v>55625.099573076914</v>
      </c>
      <c r="N45" s="299">
        <f t="shared" si="13"/>
        <v>55625.099573076914</v>
      </c>
      <c r="O45" s="299">
        <f t="shared" si="13"/>
        <v>55625.099573076914</v>
      </c>
      <c r="P45" s="299">
        <f t="shared" si="13"/>
        <v>55625.099573076914</v>
      </c>
      <c r="Q45" s="299">
        <f t="shared" si="13"/>
        <v>55625.099573076914</v>
      </c>
      <c r="R45" s="299">
        <f t="shared" ref="R45:BC45" si="14">Q45*(1+$C$8)</f>
        <v>55886.537541070371</v>
      </c>
      <c r="S45" s="299">
        <f t="shared" si="14"/>
        <v>56149.2042675134</v>
      </c>
      <c r="T45" s="299">
        <f t="shared" si="14"/>
        <v>56413.105527570711</v>
      </c>
      <c r="U45" s="299">
        <f t="shared" si="14"/>
        <v>56678.247123550289</v>
      </c>
      <c r="V45" s="299">
        <f t="shared" si="14"/>
        <v>56944.634885030973</v>
      </c>
      <c r="W45" s="299">
        <f t="shared" si="14"/>
        <v>57212.274668990613</v>
      </c>
      <c r="X45" s="299">
        <f t="shared" si="14"/>
        <v>57481.172359934862</v>
      </c>
      <c r="Y45" s="299">
        <f t="shared" si="14"/>
        <v>57751.333870026552</v>
      </c>
      <c r="Z45" s="299">
        <f t="shared" si="14"/>
        <v>58022.765139215669</v>
      </c>
      <c r="AA45" s="299">
        <f t="shared" si="14"/>
        <v>58295.472135369979</v>
      </c>
      <c r="AB45" s="299">
        <f t="shared" si="14"/>
        <v>58569.460854406214</v>
      </c>
      <c r="AC45" s="299">
        <f t="shared" si="14"/>
        <v>58844.737320421918</v>
      </c>
      <c r="AD45" s="299">
        <f t="shared" si="14"/>
        <v>59121.307585827897</v>
      </c>
      <c r="AE45" s="299">
        <f t="shared" si="14"/>
        <v>59399.177731481286</v>
      </c>
      <c r="AF45" s="299">
        <f t="shared" si="14"/>
        <v>59678.353866819241</v>
      </c>
      <c r="AG45" s="299">
        <f t="shared" si="14"/>
        <v>59958.842129993289</v>
      </c>
      <c r="AH45" s="299">
        <f t="shared" si="14"/>
        <v>60240.64868800425</v>
      </c>
      <c r="AI45" s="299">
        <f t="shared" si="14"/>
        <v>60523.779736837867</v>
      </c>
      <c r="AJ45" s="299">
        <f t="shared" si="14"/>
        <v>60808.241501600998</v>
      </c>
      <c r="AK45" s="299">
        <f t="shared" si="14"/>
        <v>61094.040236658519</v>
      </c>
      <c r="AL45" s="299">
        <f t="shared" si="14"/>
        <v>61381.182225770812</v>
      </c>
      <c r="AM45" s="299">
        <f t="shared" si="14"/>
        <v>61669.673782231926</v>
      </c>
      <c r="AN45" s="299">
        <f t="shared" si="14"/>
        <v>61959.521249008409</v>
      </c>
      <c r="AO45" s="299">
        <f t="shared" si="14"/>
        <v>62250.730998878746</v>
      </c>
      <c r="AP45" s="299">
        <f t="shared" si="14"/>
        <v>62543.309434573472</v>
      </c>
      <c r="AQ45" s="299">
        <f t="shared" si="14"/>
        <v>62837.262988915965</v>
      </c>
      <c r="AR45" s="299">
        <f t="shared" si="14"/>
        <v>63132.598124963864</v>
      </c>
      <c r="AS45" s="299">
        <f t="shared" si="14"/>
        <v>63429.321336151188</v>
      </c>
      <c r="AT45" s="299">
        <f t="shared" si="14"/>
        <v>63727.439146431097</v>
      </c>
      <c r="AU45" s="299">
        <f t="shared" si="14"/>
        <v>64026.95811041932</v>
      </c>
      <c r="AV45" s="299">
        <f t="shared" si="14"/>
        <v>64327.884813538287</v>
      </c>
      <c r="AW45" s="299">
        <f t="shared" si="14"/>
        <v>64630.225872161915</v>
      </c>
      <c r="AX45" s="299">
        <f t="shared" si="14"/>
        <v>64933.987933761069</v>
      </c>
      <c r="AY45" s="299">
        <f t="shared" si="14"/>
        <v>65239.177677049738</v>
      </c>
      <c r="AZ45" s="299">
        <f t="shared" si="14"/>
        <v>65545.80181213186</v>
      </c>
      <c r="BA45" s="299">
        <f t="shared" si="14"/>
        <v>65853.867080648881</v>
      </c>
      <c r="BB45" s="299">
        <f t="shared" si="14"/>
        <v>66163.380255927928</v>
      </c>
      <c r="BC45" s="299">
        <f t="shared" si="14"/>
        <v>66474.348143130788</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Sim</v>
      </c>
      <c r="D52" s="291">
        <f>'R&amp;C-Painel de Controle'!H67</f>
        <v>63991.846794871803</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64292.608474807697</v>
      </c>
      <c r="G54" s="299">
        <f t="shared" si="22"/>
        <v>64292.608474807697</v>
      </c>
      <c r="H54" s="299">
        <f t="shared" si="22"/>
        <v>64292.608474807697</v>
      </c>
      <c r="I54" s="299">
        <f t="shared" si="22"/>
        <v>64292.608474807697</v>
      </c>
      <c r="J54" s="299">
        <f t="shared" si="22"/>
        <v>64292.608474807697</v>
      </c>
      <c r="K54" s="299">
        <f t="shared" si="22"/>
        <v>64292.608474807697</v>
      </c>
      <c r="L54" s="299">
        <f t="shared" si="22"/>
        <v>64292.608474807697</v>
      </c>
      <c r="M54" s="299">
        <f t="shared" si="22"/>
        <v>64292.608474807697</v>
      </c>
      <c r="N54" s="299">
        <f t="shared" si="22"/>
        <v>64292.608474807697</v>
      </c>
      <c r="O54" s="299">
        <f t="shared" si="22"/>
        <v>64292.608474807697</v>
      </c>
      <c r="P54" s="299">
        <f t="shared" si="22"/>
        <v>64292.608474807697</v>
      </c>
      <c r="Q54" s="299">
        <f t="shared" si="22"/>
        <v>64292.608474807697</v>
      </c>
      <c r="R54" s="299">
        <f t="shared" ref="R54:BC54" si="23">Q54*(1+$C$8)</f>
        <v>64594.783734639292</v>
      </c>
      <c r="S54" s="299">
        <f t="shared" si="23"/>
        <v>64898.379218192094</v>
      </c>
      <c r="T54" s="299">
        <f t="shared" si="23"/>
        <v>65203.401600517594</v>
      </c>
      <c r="U54" s="299">
        <f t="shared" si="23"/>
        <v>65509.857588040024</v>
      </c>
      <c r="V54" s="299">
        <f t="shared" si="23"/>
        <v>65817.753918703806</v>
      </c>
      <c r="W54" s="299">
        <f t="shared" si="23"/>
        <v>66127.097362121713</v>
      </c>
      <c r="X54" s="299">
        <f t="shared" si="23"/>
        <v>66437.894719723685</v>
      </c>
      <c r="Y54" s="299">
        <f t="shared" si="23"/>
        <v>66750.152824906385</v>
      </c>
      <c r="Z54" s="299">
        <f t="shared" si="23"/>
        <v>67063.87854318344</v>
      </c>
      <c r="AA54" s="299">
        <f t="shared" si="23"/>
        <v>67379.078772336405</v>
      </c>
      <c r="AB54" s="299">
        <f t="shared" si="23"/>
        <v>67695.760442566374</v>
      </c>
      <c r="AC54" s="299">
        <f t="shared" si="23"/>
        <v>68013.930516646433</v>
      </c>
      <c r="AD54" s="299">
        <f t="shared" si="23"/>
        <v>68333.595990074667</v>
      </c>
      <c r="AE54" s="299">
        <f t="shared" si="23"/>
        <v>68654.763891228009</v>
      </c>
      <c r="AF54" s="299">
        <f t="shared" si="23"/>
        <v>68977.441281516774</v>
      </c>
      <c r="AG54" s="299">
        <f t="shared" si="23"/>
        <v>69301.635255539892</v>
      </c>
      <c r="AH54" s="299">
        <f t="shared" si="23"/>
        <v>69627.352941240926</v>
      </c>
      <c r="AI54" s="299">
        <f t="shared" si="23"/>
        <v>69954.60150006476</v>
      </c>
      <c r="AJ54" s="299">
        <f t="shared" si="23"/>
        <v>70283.38812711506</v>
      </c>
      <c r="AK54" s="299">
        <f t="shared" si="23"/>
        <v>70613.720051312499</v>
      </c>
      <c r="AL54" s="299">
        <f t="shared" si="23"/>
        <v>70945.604535553663</v>
      </c>
      <c r="AM54" s="299">
        <f t="shared" si="23"/>
        <v>71279.048876870758</v>
      </c>
      <c r="AN54" s="299">
        <f t="shared" si="23"/>
        <v>71614.060406592049</v>
      </c>
      <c r="AO54" s="299">
        <f t="shared" si="23"/>
        <v>71950.64649050303</v>
      </c>
      <c r="AP54" s="299">
        <f t="shared" si="23"/>
        <v>72288.814529008392</v>
      </c>
      <c r="AQ54" s="299">
        <f t="shared" si="23"/>
        <v>72628.571957294727</v>
      </c>
      <c r="AR54" s="299">
        <f t="shared" si="23"/>
        <v>72969.926245494004</v>
      </c>
      <c r="AS54" s="299">
        <f t="shared" si="23"/>
        <v>73312.884898847813</v>
      </c>
      <c r="AT54" s="299">
        <f t="shared" si="23"/>
        <v>73657.455457872391</v>
      </c>
      <c r="AU54" s="299">
        <f t="shared" si="23"/>
        <v>74003.645498524391</v>
      </c>
      <c r="AV54" s="299">
        <f t="shared" si="23"/>
        <v>74351.462632367446</v>
      </c>
      <c r="AW54" s="299">
        <f t="shared" si="23"/>
        <v>74700.914506739573</v>
      </c>
      <c r="AX54" s="299">
        <f t="shared" si="23"/>
        <v>75052.00880492125</v>
      </c>
      <c r="AY54" s="299">
        <f t="shared" si="23"/>
        <v>75404.753246304375</v>
      </c>
      <c r="AZ54" s="299">
        <f t="shared" si="23"/>
        <v>75759.155586562003</v>
      </c>
      <c r="BA54" s="299">
        <f t="shared" si="23"/>
        <v>76115.223617818832</v>
      </c>
      <c r="BB54" s="299">
        <f t="shared" si="23"/>
        <v>76472.965168822571</v>
      </c>
      <c r="BC54" s="299">
        <f t="shared" si="23"/>
        <v>76832.388105116028</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77890.802403846174</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78256.889175144242</v>
      </c>
      <c r="G60" s="299">
        <f t="shared" si="28"/>
        <v>78256.889175144242</v>
      </c>
      <c r="H60" s="299">
        <f t="shared" si="28"/>
        <v>78256.889175144242</v>
      </c>
      <c r="I60" s="299">
        <f t="shared" si="28"/>
        <v>78256.889175144242</v>
      </c>
      <c r="J60" s="299">
        <f t="shared" si="28"/>
        <v>78256.889175144242</v>
      </c>
      <c r="K60" s="299">
        <f t="shared" si="28"/>
        <v>78256.889175144242</v>
      </c>
      <c r="L60" s="299">
        <f t="shared" si="28"/>
        <v>78256.889175144242</v>
      </c>
      <c r="M60" s="299">
        <f t="shared" si="28"/>
        <v>78256.889175144242</v>
      </c>
      <c r="N60" s="299">
        <f t="shared" si="28"/>
        <v>78256.889175144242</v>
      </c>
      <c r="O60" s="299">
        <f t="shared" si="28"/>
        <v>78256.889175144242</v>
      </c>
      <c r="P60" s="299">
        <f t="shared" si="28"/>
        <v>78256.889175144242</v>
      </c>
      <c r="Q60" s="299">
        <f t="shared" si="28"/>
        <v>78256.889175144242</v>
      </c>
      <c r="R60" s="299">
        <f t="shared" ref="R60:BC60" si="29">Q60*(1+$C$8)</f>
        <v>78624.696554267415</v>
      </c>
      <c r="S60" s="299">
        <f t="shared" si="29"/>
        <v>78994.232628072466</v>
      </c>
      <c r="T60" s="299">
        <f t="shared" si="29"/>
        <v>79365.505521424406</v>
      </c>
      <c r="U60" s="299">
        <f t="shared" si="29"/>
        <v>79738.523397375087</v>
      </c>
      <c r="V60" s="299">
        <f t="shared" si="29"/>
        <v>80113.294457342738</v>
      </c>
      <c r="W60" s="299">
        <f t="shared" si="29"/>
        <v>80489.826941292238</v>
      </c>
      <c r="X60" s="299">
        <f t="shared" si="29"/>
        <v>80868.129127916312</v>
      </c>
      <c r="Y60" s="299">
        <f t="shared" si="29"/>
        <v>81248.209334817511</v>
      </c>
      <c r="Z60" s="299">
        <f t="shared" si="29"/>
        <v>81630.075918691145</v>
      </c>
      <c r="AA60" s="299">
        <f t="shared" si="29"/>
        <v>82013.737275508989</v>
      </c>
      <c r="AB60" s="299">
        <f t="shared" si="29"/>
        <v>82399.20184070387</v>
      </c>
      <c r="AC60" s="299">
        <f t="shared" si="29"/>
        <v>82786.47808935518</v>
      </c>
      <c r="AD60" s="299">
        <f t="shared" si="29"/>
        <v>83175.574536375148</v>
      </c>
      <c r="AE60" s="299">
        <f t="shared" si="29"/>
        <v>83566.499736696103</v>
      </c>
      <c r="AF60" s="299">
        <f t="shared" si="29"/>
        <v>83959.262285458564</v>
      </c>
      <c r="AG60" s="299">
        <f t="shared" si="29"/>
        <v>84353.870818200216</v>
      </c>
      <c r="AH60" s="299">
        <f t="shared" si="29"/>
        <v>84750.33401104575</v>
      </c>
      <c r="AI60" s="299">
        <f t="shared" si="29"/>
        <v>85148.66058089766</v>
      </c>
      <c r="AJ60" s="299">
        <f t="shared" si="29"/>
        <v>85548.85928562787</v>
      </c>
      <c r="AK60" s="299">
        <f t="shared" si="29"/>
        <v>85950.938924270318</v>
      </c>
      <c r="AL60" s="299">
        <f t="shared" si="29"/>
        <v>86354.90833721438</v>
      </c>
      <c r="AM60" s="299">
        <f t="shared" si="29"/>
        <v>86760.77640639928</v>
      </c>
      <c r="AN60" s="299">
        <f t="shared" si="29"/>
        <v>87168.552055509354</v>
      </c>
      <c r="AO60" s="299">
        <f t="shared" si="29"/>
        <v>87578.244250170246</v>
      </c>
      <c r="AP60" s="299">
        <f t="shared" si="29"/>
        <v>87989.861998146036</v>
      </c>
      <c r="AQ60" s="299">
        <f t="shared" si="29"/>
        <v>88403.414349537314</v>
      </c>
      <c r="AR60" s="299">
        <f t="shared" si="29"/>
        <v>88818.910396980136</v>
      </c>
      <c r="AS60" s="299">
        <f t="shared" si="29"/>
        <v>89236.359275845942</v>
      </c>
      <c r="AT60" s="299">
        <f t="shared" si="29"/>
        <v>89655.770164442409</v>
      </c>
      <c r="AU60" s="299">
        <f t="shared" si="29"/>
        <v>90077.152284215277</v>
      </c>
      <c r="AV60" s="299">
        <f t="shared" si="29"/>
        <v>90500.514899951086</v>
      </c>
      <c r="AW60" s="299">
        <f t="shared" si="29"/>
        <v>90925.867319980855</v>
      </c>
      <c r="AX60" s="299">
        <f t="shared" si="29"/>
        <v>91353.218896384758</v>
      </c>
      <c r="AY60" s="299">
        <f t="shared" si="29"/>
        <v>91782.57902519776</v>
      </c>
      <c r="AZ60" s="299">
        <f t="shared" si="29"/>
        <v>92213.957146616187</v>
      </c>
      <c r="BA60" s="299">
        <f t="shared" si="29"/>
        <v>92647.362745205275</v>
      </c>
      <c r="BB60" s="299">
        <f t="shared" si="29"/>
        <v>93082.805350107737</v>
      </c>
      <c r="BC60" s="299">
        <f t="shared" si="29"/>
        <v>93520.294535253241</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57.387502756210623</v>
      </c>
      <c r="D63" s="281">
        <f>((D67+D70+D73+D76+D79+D82+D85+D88+'R&amp;C-Painel de Controle'!I21)+('R&amp;C-Painel de Controle'!$K$77*$H$27/5+'R&amp;C-Painel de Controle'!$K$75*$H$27/20+'R&amp;C-Painel de Controle'!$D$29+'R&amp;C-Painel de Controle'!$D$30)/3*(1+$C$62))</f>
        <v>68.677705059710732</v>
      </c>
      <c r="E63" s="281">
        <f>((E67+E70+E73+E76+E79+E82+E85+E88+'R&amp;C-Painel de Controle'!J21)+('R&amp;C-Painel de Controle'!$K$77*$H$27/5+'R&amp;C-Painel de Controle'!$K$75*$H$27/20+'R&amp;C-Painel de Controle'!$D$29+'R&amp;C-Painel de Controle'!$D$30)/3*(1+$C$62))</f>
        <v>79.317581237723729</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Sim</v>
      </c>
      <c r="D71" s="302">
        <f>'R&amp;C-Painel de Controle'!K58</f>
        <v>24.477469026953049</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4.8954938053906103</v>
      </c>
      <c r="D73" s="300">
        <f t="shared" si="35"/>
        <v>12.238734513476524</v>
      </c>
      <c r="E73" s="299">
        <f t="shared" si="35"/>
        <v>7.3432407080859141</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Sim</v>
      </c>
      <c r="D80" s="302">
        <f>'R&amp;C-Painel de Controle'!K67</f>
        <v>19.483845674225673</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3.896769134845135</v>
      </c>
      <c r="D82" s="300">
        <f t="shared" si="38"/>
        <v>9.7419228371128366</v>
      </c>
      <c r="E82" s="298">
        <f t="shared" si="38"/>
        <v>5.8451537022677016</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19.625089710983175</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3.9250179421966354</v>
      </c>
      <c r="D88" s="300">
        <f t="shared" si="40"/>
        <v>9.8125448554915877</v>
      </c>
      <c r="E88" s="298">
        <f t="shared" si="40"/>
        <v>5.8875269132949528</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24.385415822833174</v>
      </c>
      <c r="G90" s="281">
        <f>IF('R&amp;C-Painel de Controle'!$D$24="Não",G94+G97+G100+G103+G106+G109+G112+G115,G94+G97+G100+G103+G106+G109+G112+G115+'R&amp;C-Painel de Controle'!$L$91)</f>
        <v>24.385415822833174</v>
      </c>
      <c r="H90" s="281">
        <f>IF('R&amp;C-Painel de Controle'!$D$24="Não",H94+H97+H100+H103+H106+H109+H112+H115,H94+H97+H100+H103+H106+H109+H112+H115+'R&amp;C-Painel de Controle'!$L$91)</f>
        <v>24.385415822833174</v>
      </c>
      <c r="I90" s="281">
        <f>IF('R&amp;C-Painel de Controle'!$D$24="Não",I94+I97+I100+I103+I106+I109+I112+I115,I94+I97+I100+I103+I106+I109+I112+I115+'R&amp;C-Painel de Controle'!$L$91)</f>
        <v>24.385415822833174</v>
      </c>
      <c r="J90" s="281">
        <f>IF('R&amp;C-Painel de Controle'!$D$24="Não",J94+J97+J100+J103+J106+J109+J112+J115,J94+J97+J100+J103+J106+J109+J112+J115+'R&amp;C-Painel de Controle'!$L$91)</f>
        <v>24.385415822833174</v>
      </c>
      <c r="K90" s="281">
        <f>IF('R&amp;C-Painel de Controle'!$D$24="Não",K94+K97+K100+K103+K106+K109+K112+K115,K94+K97+K100+K103+K106+K109+K112+K115+'R&amp;C-Painel de Controle'!$L$91)</f>
        <v>24.385415822833174</v>
      </c>
      <c r="L90" s="281">
        <f>IF('R&amp;C-Painel de Controle'!$D$24="Não",L94+L97+L100+L103+L106+L109+L112+L115,L94+L97+L100+L103+L106+L109+L112+L115+'R&amp;C-Painel de Controle'!$L$91)</f>
        <v>24.385415822833174</v>
      </c>
      <c r="M90" s="281">
        <f>IF('R&amp;C-Painel de Controle'!$D$24="Não",M94+M97+M100+M103+M106+M109+M112+M115,M94+M97+M100+M103+M106+M109+M112+M115+'R&amp;C-Painel de Controle'!$L$91)</f>
        <v>24.385415822833174</v>
      </c>
      <c r="N90" s="281">
        <f>IF('R&amp;C-Painel de Controle'!$D$24="Não",N94+N97+N100+N103+N106+N109+N112+N115,N94+N97+N100+N103+N106+N109+N112+N115+'R&amp;C-Painel de Controle'!$L$91)</f>
        <v>24.385415822833174</v>
      </c>
      <c r="O90" s="281">
        <f>IF('R&amp;C-Painel de Controle'!$D$24="Não",O94+O97+O100+O103+O106+O109+O112+O115,O94+O97+O100+O103+O106+O109+O112+O115+'R&amp;C-Painel de Controle'!$L$91)</f>
        <v>24.385415822833174</v>
      </c>
      <c r="P90" s="281">
        <f>IF('R&amp;C-Painel de Controle'!$D$24="Não",P94+P97+P100+P103+P106+P109+P112+P115,P94+P97+P100+P103+P106+P109+P112+P115+'R&amp;C-Painel de Controle'!$L$91)</f>
        <v>24.385415822833174</v>
      </c>
      <c r="Q90" s="281">
        <f>IF('R&amp;C-Painel de Controle'!$D$24="Não",Q94+Q97+Q100+Q103+Q106+Q109+Q112+Q115,Q94+Q97+Q100+Q103+Q106+Q109+Q112+Q115+'R&amp;C-Painel de Controle'!$L$91)</f>
        <v>24.385415822833174</v>
      </c>
      <c r="R90" s="281">
        <f>IF('R&amp;C-Painel de Controle'!$D$24="Não",R94+R97+R100+R103+R106+R109+R112+R115,R94+R97+R100+R103+R106+R109+R112+R115+'R&amp;C-Painel de Controle'!$L$91)</f>
        <v>24.385415822833174</v>
      </c>
      <c r="S90" s="281">
        <f>IF('R&amp;C-Painel de Controle'!$D$24="Não",S94+S97+S100+S103+S106+S109+S112+S115,S94+S97+S100+S103+S106+S109+S112+S115+'R&amp;C-Painel de Controle'!$L$91)</f>
        <v>24.385415822833174</v>
      </c>
      <c r="T90" s="281">
        <f>IF('R&amp;C-Painel de Controle'!$D$24="Não",T94+T97+T100+T103+T106+T109+T112+T115,T94+T97+T100+T103+T106+T109+T112+T115+'R&amp;C-Painel de Controle'!$L$91)</f>
        <v>24.385415822833174</v>
      </c>
      <c r="U90" s="281">
        <f>IF('R&amp;C-Painel de Controle'!$D$24="Não",U94+U97+U100+U103+U106+U109+U112+U115,U94+U97+U100+U103+U106+U109+U112+U115+'R&amp;C-Painel de Controle'!$L$91)</f>
        <v>24.385415822833174</v>
      </c>
      <c r="V90" s="281">
        <f>IF('R&amp;C-Painel de Controle'!$D$24="Não",V94+V97+V100+V103+V106+V109+V112+V115,V94+V97+V100+V103+V106+V109+V112+V115+'R&amp;C-Painel de Controle'!$L$91)</f>
        <v>24.385415822833174</v>
      </c>
      <c r="W90" s="281">
        <f>IF('R&amp;C-Painel de Controle'!$D$24="Não",W94+W97+W100+W103+W106+W109+W112+W115,W94+W97+W100+W103+W106+W109+W112+W115+'R&amp;C-Painel de Controle'!$L$91)</f>
        <v>24.385415822833174</v>
      </c>
      <c r="X90" s="281">
        <f>IF('R&amp;C-Painel de Controle'!$D$24="Não",X94+X97+X100+X103+X106+X109+X112+X115,X94+X97+X100+X103+X106+X109+X112+X115+'R&amp;C-Painel de Controle'!$L$91)</f>
        <v>24.385415822833174</v>
      </c>
      <c r="Y90" s="281">
        <f>IF('R&amp;C-Painel de Controle'!$D$24="Não",Y94+Y97+Y100+Y103+Y106+Y109+Y112+Y115,Y94+Y97+Y100+Y103+Y106+Y109+Y112+Y115+'R&amp;C-Painel de Controle'!$L$91)</f>
        <v>24.385415822833174</v>
      </c>
      <c r="Z90" s="281">
        <f>IF('R&amp;C-Painel de Controle'!$D$24="Não",Z94+Z97+Z100+Z103+Z106+Z109+Z112+Z115,Z94+Z97+Z100+Z103+Z106+Z109+Z112+Z115+'R&amp;C-Painel de Controle'!$L$91)</f>
        <v>24.385415822833174</v>
      </c>
      <c r="AA90" s="281">
        <f>IF('R&amp;C-Painel de Controle'!$D$24="Não",AA94+AA97+AA100+AA103+AA106+AA109+AA112+AA115,AA94+AA97+AA100+AA103+AA106+AA109+AA112+AA115+'R&amp;C-Painel de Controle'!$L$91)</f>
        <v>24.385415822833174</v>
      </c>
      <c r="AB90" s="281">
        <f>IF('R&amp;C-Painel de Controle'!$D$24="Não",AB94+AB97+AB100+AB103+AB106+AB109+AB112+AB115,AB94+AB97+AB100+AB103+AB106+AB109+AB112+AB115+'R&amp;C-Painel de Controle'!$L$91)</f>
        <v>24.385415822833174</v>
      </c>
      <c r="AC90" s="281">
        <f>IF('R&amp;C-Painel de Controle'!$D$24="Não",AC94+AC97+AC100+AC103+AC106+AC109+AC112+AC115,AC94+AC97+AC100+AC103+AC106+AC109+AC112+AC115+'R&amp;C-Painel de Controle'!$L$91)</f>
        <v>24.385415822833174</v>
      </c>
      <c r="AD90" s="281">
        <f>IF('R&amp;C-Painel de Controle'!$D$24="Não",AD94+AD97+AD100+AD103+AD106+AD109+AD112+AD115,AD94+AD97+AD100+AD103+AD106+AD109+AD112+AD115+'R&amp;C-Painel de Controle'!$L$91)</f>
        <v>24.385415822833174</v>
      </c>
      <c r="AE90" s="281">
        <f>IF('R&amp;C-Painel de Controle'!$D$24="Não",AE94+AE97+AE100+AE103+AE106+AE109+AE112+AE115,AE94+AE97+AE100+AE103+AE106+AE109+AE112+AE115+'R&amp;C-Painel de Controle'!$L$91)</f>
        <v>24.385415822833174</v>
      </c>
      <c r="AF90" s="281">
        <f>IF('R&amp;C-Painel de Controle'!$D$24="Não",AF94+AF97+AF100+AF103+AF106+AF109+AF112+AF115,AF94+AF97+AF100+AF103+AF106+AF109+AF112+AF115+'R&amp;C-Painel de Controle'!$L$91)</f>
        <v>24.385415822833174</v>
      </c>
      <c r="AG90" s="281">
        <f>IF('R&amp;C-Painel de Controle'!$D$24="Não",AG94+AG97+AG100+AG103+AG106+AG109+AG112+AG115,AG94+AG97+AG100+AG103+AG106+AG109+AG112+AG115+'R&amp;C-Painel de Controle'!$L$91)</f>
        <v>24.385415822833174</v>
      </c>
      <c r="AH90" s="281">
        <f>IF('R&amp;C-Painel de Controle'!$D$24="Não",AH94+AH97+AH100+AH103+AH106+AH109+AH112+AH115,AH94+AH97+AH100+AH103+AH106+AH109+AH112+AH115+'R&amp;C-Painel de Controle'!$L$91)</f>
        <v>24.385415822833174</v>
      </c>
      <c r="AI90" s="281">
        <f>IF('R&amp;C-Painel de Controle'!$D$24="Não",AI94+AI97+AI100+AI103+AI106+AI109+AI112+AI115,AI94+AI97+AI100+AI103+AI106+AI109+AI112+AI115+'R&amp;C-Painel de Controle'!$L$91)</f>
        <v>24.385415822833174</v>
      </c>
      <c r="AJ90" s="281">
        <f>IF('R&amp;C-Painel de Controle'!$D$24="Não",AJ94+AJ97+AJ100+AJ103+AJ106+AJ109+AJ112+AJ115,AJ94+AJ97+AJ100+AJ103+AJ106+AJ109+AJ112+AJ115+'R&amp;C-Painel de Controle'!$L$91)</f>
        <v>24.385415822833174</v>
      </c>
      <c r="AK90" s="281">
        <f>IF('R&amp;C-Painel de Controle'!$D$24="Não",AK94+AK97+AK100+AK103+AK106+AK109+AK112+AK115,AK94+AK97+AK100+AK103+AK106+AK109+AK112+AK115+'R&amp;C-Painel de Controle'!$L$91)</f>
        <v>24.385415822833174</v>
      </c>
      <c r="AL90" s="281">
        <f>IF('R&amp;C-Painel de Controle'!$D$24="Não",AL94+AL97+AL100+AL103+AL106+AL109+AL112+AL115,AL94+AL97+AL100+AL103+AL106+AL109+AL112+AL115+'R&amp;C-Painel de Controle'!$L$91)</f>
        <v>24.385415822833174</v>
      </c>
      <c r="AM90" s="281">
        <f>IF('R&amp;C-Painel de Controle'!$D$24="Não",AM94+AM97+AM100+AM103+AM106+AM109+AM112+AM115,AM94+AM97+AM100+AM103+AM106+AM109+AM112+AM115+'R&amp;C-Painel de Controle'!$L$91)</f>
        <v>24.385415822833174</v>
      </c>
      <c r="AN90" s="281">
        <f>IF('R&amp;C-Painel de Controle'!$D$24="Não",AN94+AN97+AN100+AN103+AN106+AN109+AN112+AN115,AN94+AN97+AN100+AN103+AN106+AN109+AN112+AN115+'R&amp;C-Painel de Controle'!$L$91)</f>
        <v>24.385415822833174</v>
      </c>
      <c r="AO90" s="281">
        <f>IF('R&amp;C-Painel de Controle'!$D$24="Não",AO94+AO97+AO100+AO103+AO106+AO109+AO112+AO115,AO94+AO97+AO100+AO103+AO106+AO109+AO112+AO115+'R&amp;C-Painel de Controle'!$L$91)</f>
        <v>24.385415822833174</v>
      </c>
      <c r="AP90" s="281">
        <f>IF('R&amp;C-Painel de Controle'!$D$24="Não",AP94+AP97+AP100+AP103+AP106+AP109+AP112+AP115,AP94+AP97+AP100+AP103+AP106+AP109+AP112+AP115+'R&amp;C-Painel de Controle'!$L$91)</f>
        <v>24.385415822833174</v>
      </c>
      <c r="AQ90" s="281">
        <f>IF('R&amp;C-Painel de Controle'!$D$24="Não",AQ94+AQ97+AQ100+AQ103+AQ106+AQ109+AQ112+AQ115,AQ94+AQ97+AQ100+AQ103+AQ106+AQ109+AQ112+AQ115+'R&amp;C-Painel de Controle'!$L$91)</f>
        <v>24.385415822833174</v>
      </c>
      <c r="AR90" s="281">
        <f>IF('R&amp;C-Painel de Controle'!$D$24="Não",AR94+AR97+AR100+AR103+AR106+AR109+AR112+AR115,AR94+AR97+AR100+AR103+AR106+AR109+AR112+AR115+'R&amp;C-Painel de Controle'!$L$91)</f>
        <v>24.385415822833174</v>
      </c>
      <c r="AS90" s="281">
        <f>IF('R&amp;C-Painel de Controle'!$D$24="Não",AS94+AS97+AS100+AS103+AS106+AS109+AS112+AS115,AS94+AS97+AS100+AS103+AS106+AS109+AS112+AS115+'R&amp;C-Painel de Controle'!$L$91)</f>
        <v>24.385415822833174</v>
      </c>
      <c r="AT90" s="281">
        <f>IF('R&amp;C-Painel de Controle'!$D$24="Não",AT94+AT97+AT100+AT103+AT106+AT109+AT112+AT115,AT94+AT97+AT100+AT103+AT106+AT109+AT112+AT115+'R&amp;C-Painel de Controle'!$L$91)</f>
        <v>24.385415822833174</v>
      </c>
      <c r="AU90" s="281">
        <f>IF('R&amp;C-Painel de Controle'!$D$24="Não",AU94+AU97+AU100+AU103+AU106+AU109+AU112+AU115,AU94+AU97+AU100+AU103+AU106+AU109+AU112+AU115+'R&amp;C-Painel de Controle'!$L$91)</f>
        <v>24.385415822833174</v>
      </c>
      <c r="AV90" s="281">
        <f>IF('R&amp;C-Painel de Controle'!$D$24="Não",AV94+AV97+AV100+AV103+AV106+AV109+AV112+AV115,AV94+AV97+AV100+AV103+AV106+AV109+AV112+AV115+'R&amp;C-Painel de Controle'!$L$91)</f>
        <v>24.385415822833174</v>
      </c>
      <c r="AW90" s="281">
        <f>IF('R&amp;C-Painel de Controle'!$D$24="Não",AW94+AW97+AW100+AW103+AW106+AW109+AW112+AW115,AW94+AW97+AW100+AW103+AW106+AW109+AW112+AW115+'R&amp;C-Painel de Controle'!$L$91)</f>
        <v>24.385415822833174</v>
      </c>
      <c r="AX90" s="281">
        <f>IF('R&amp;C-Painel de Controle'!$D$24="Não",AX94+AX97+AX100+AX103+AX106+AX109+AX112+AX115,AX94+AX97+AX100+AX103+AX106+AX109+AX112+AX115+'R&amp;C-Painel de Controle'!$L$91)</f>
        <v>24.385415822833174</v>
      </c>
      <c r="AY90" s="281">
        <f>IF('R&amp;C-Painel de Controle'!$D$24="Não",AY94+AY97+AY100+AY103+AY106+AY109+AY112+AY115,AY94+AY97+AY100+AY103+AY106+AY109+AY112+AY115+'R&amp;C-Painel de Controle'!$L$91)</f>
        <v>24.385415822833174</v>
      </c>
      <c r="AZ90" s="281">
        <f>IF('R&amp;C-Painel de Controle'!$D$24="Não",AZ94+AZ97+AZ100+AZ103+AZ106+AZ109+AZ112+AZ115,AZ94+AZ97+AZ100+AZ103+AZ106+AZ109+AZ112+AZ115+'R&amp;C-Painel de Controle'!$L$91)</f>
        <v>24.385415822833174</v>
      </c>
      <c r="BA90" s="281">
        <f>IF('R&amp;C-Painel de Controle'!$D$24="Não",BA94+BA97+BA100+BA103+BA106+BA109+BA112+BA115,BA94+BA97+BA100+BA103+BA106+BA109+BA112+BA115+'R&amp;C-Painel de Controle'!$L$91)</f>
        <v>24.385415822833174</v>
      </c>
      <c r="BB90" s="281">
        <f>IF('R&amp;C-Painel de Controle'!$D$24="Não",BB94+BB97+BB100+BB103+BB106+BB109+BB112+BB115,BB94+BB97+BB100+BB103+BB106+BB109+BB112+BB115+'R&amp;C-Painel de Controle'!$L$91)</f>
        <v>24.385415822833174</v>
      </c>
      <c r="BC90" s="281">
        <f>IF('R&amp;C-Painel de Controle'!$D$24="Não",BC94+BC97+BC100+BC103+BC106+BC109+BC112+BC115,BC94+BC97+BC100+BC103+BC106+BC109+BC112+BC115+'R&amp;C-Painel de Controle'!$L$91)</f>
        <v>24.385415822833174</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Sim</v>
      </c>
      <c r="D98" s="291">
        <f>D43</f>
        <v>55364.88461538461</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2.6961196849018552</v>
      </c>
      <c r="G100" s="293">
        <f>IF(G45&gt;0,'R&amp;C-Painel de Controle'!$O60+'R&amp;C-Painel de Controle'!$P60*G45/1000000,0)</f>
        <v>2.6961196849018552</v>
      </c>
      <c r="H100" s="293">
        <f>IF(H45&gt;0,'R&amp;C-Painel de Controle'!$O60+'R&amp;C-Painel de Controle'!$P60*H45/1000000,0)</f>
        <v>2.6961196849018552</v>
      </c>
      <c r="I100" s="293">
        <f>IF(I45&gt;0,'R&amp;C-Painel de Controle'!$O60+'R&amp;C-Painel de Controle'!$P60*I45/1000000,0)</f>
        <v>2.6961196849018552</v>
      </c>
      <c r="J100" s="293">
        <f>IF(J45&gt;0,'R&amp;C-Painel de Controle'!$O60+'R&amp;C-Painel de Controle'!$P60*J45/1000000,0)</f>
        <v>2.6961196849018552</v>
      </c>
      <c r="K100" s="293">
        <f>IF(K45&gt;0,'R&amp;C-Painel de Controle'!$O60+'R&amp;C-Painel de Controle'!$P60*K45/1000000,0)</f>
        <v>2.6961196849018552</v>
      </c>
      <c r="L100" s="293">
        <f>IF(L45&gt;0,'R&amp;C-Painel de Controle'!$O60+'R&amp;C-Painel de Controle'!$P60*L45/1000000,0)</f>
        <v>2.6961196849018552</v>
      </c>
      <c r="M100" s="293">
        <f>IF(M45&gt;0,'R&amp;C-Painel de Controle'!$O60+'R&amp;C-Painel de Controle'!$P60*M45/1000000,0)</f>
        <v>2.6961196849018552</v>
      </c>
      <c r="N100" s="293">
        <f>IF(N45&gt;0,'R&amp;C-Painel de Controle'!$O60+'R&amp;C-Painel de Controle'!$P60*N45/1000000,0)</f>
        <v>2.6961196849018552</v>
      </c>
      <c r="O100" s="293">
        <f>IF(O45&gt;0,'R&amp;C-Painel de Controle'!$O60+'R&amp;C-Painel de Controle'!$P60*O45/1000000,0)</f>
        <v>2.6961196849018552</v>
      </c>
      <c r="P100" s="293">
        <f>IF(P45&gt;0,'R&amp;C-Painel de Controle'!$O60+'R&amp;C-Painel de Controle'!$P60*P45/1000000,0)</f>
        <v>2.6961196849018552</v>
      </c>
      <c r="Q100" s="293">
        <f>IF(Q45&gt;0,'R&amp;C-Painel de Controle'!$O60+'R&amp;C-Painel de Controle'!$P60*Q45/1000000,0)</f>
        <v>2.6961196849018552</v>
      </c>
      <c r="R100" s="280">
        <f t="shared" ref="R100:BC100" si="43">Q100</f>
        <v>2.6961196849018552</v>
      </c>
      <c r="S100" s="280">
        <f t="shared" si="43"/>
        <v>2.6961196849018552</v>
      </c>
      <c r="T100" s="280">
        <f t="shared" si="43"/>
        <v>2.6961196849018552</v>
      </c>
      <c r="U100" s="280">
        <f t="shared" si="43"/>
        <v>2.6961196849018552</v>
      </c>
      <c r="V100" s="280">
        <f t="shared" si="43"/>
        <v>2.6961196849018552</v>
      </c>
      <c r="W100" s="280">
        <f t="shared" si="43"/>
        <v>2.6961196849018552</v>
      </c>
      <c r="X100" s="280">
        <f t="shared" si="43"/>
        <v>2.6961196849018552</v>
      </c>
      <c r="Y100" s="280">
        <f t="shared" si="43"/>
        <v>2.6961196849018552</v>
      </c>
      <c r="Z100" s="280">
        <f t="shared" si="43"/>
        <v>2.6961196849018552</v>
      </c>
      <c r="AA100" s="280">
        <f t="shared" si="43"/>
        <v>2.6961196849018552</v>
      </c>
      <c r="AB100" s="280">
        <f t="shared" si="43"/>
        <v>2.6961196849018552</v>
      </c>
      <c r="AC100" s="280">
        <f t="shared" si="43"/>
        <v>2.6961196849018552</v>
      </c>
      <c r="AD100" s="280">
        <f t="shared" si="43"/>
        <v>2.6961196849018552</v>
      </c>
      <c r="AE100" s="280">
        <f t="shared" si="43"/>
        <v>2.6961196849018552</v>
      </c>
      <c r="AF100" s="280">
        <f t="shared" si="43"/>
        <v>2.6961196849018552</v>
      </c>
      <c r="AG100" s="280">
        <f t="shared" si="43"/>
        <v>2.6961196849018552</v>
      </c>
      <c r="AH100" s="280">
        <f t="shared" si="43"/>
        <v>2.6961196849018552</v>
      </c>
      <c r="AI100" s="280">
        <f t="shared" si="43"/>
        <v>2.6961196849018552</v>
      </c>
      <c r="AJ100" s="280">
        <f t="shared" si="43"/>
        <v>2.6961196849018552</v>
      </c>
      <c r="AK100" s="280">
        <f t="shared" si="43"/>
        <v>2.6961196849018552</v>
      </c>
      <c r="AL100" s="280">
        <f t="shared" si="43"/>
        <v>2.6961196849018552</v>
      </c>
      <c r="AM100" s="280">
        <f t="shared" si="43"/>
        <v>2.6961196849018552</v>
      </c>
      <c r="AN100" s="280">
        <f t="shared" si="43"/>
        <v>2.6961196849018552</v>
      </c>
      <c r="AO100" s="280">
        <f t="shared" si="43"/>
        <v>2.6961196849018552</v>
      </c>
      <c r="AP100" s="280">
        <f t="shared" si="43"/>
        <v>2.6961196849018552</v>
      </c>
      <c r="AQ100" s="280">
        <f t="shared" si="43"/>
        <v>2.6961196849018552</v>
      </c>
      <c r="AR100" s="280">
        <f t="shared" si="43"/>
        <v>2.6961196849018552</v>
      </c>
      <c r="AS100" s="280">
        <f t="shared" si="43"/>
        <v>2.6961196849018552</v>
      </c>
      <c r="AT100" s="280">
        <f t="shared" si="43"/>
        <v>2.6961196849018552</v>
      </c>
      <c r="AU100" s="280">
        <f t="shared" si="43"/>
        <v>2.6961196849018552</v>
      </c>
      <c r="AV100" s="280">
        <f t="shared" si="43"/>
        <v>2.6961196849018552</v>
      </c>
      <c r="AW100" s="280">
        <f t="shared" si="43"/>
        <v>2.6961196849018552</v>
      </c>
      <c r="AX100" s="280">
        <f t="shared" si="43"/>
        <v>2.6961196849018552</v>
      </c>
      <c r="AY100" s="280">
        <f t="shared" si="43"/>
        <v>2.6961196849018552</v>
      </c>
      <c r="AZ100" s="280">
        <f t="shared" si="43"/>
        <v>2.6961196849018552</v>
      </c>
      <c r="BA100" s="280">
        <f t="shared" si="43"/>
        <v>2.6961196849018552</v>
      </c>
      <c r="BB100" s="280">
        <f t="shared" si="43"/>
        <v>2.6961196849018552</v>
      </c>
      <c r="BC100" s="280">
        <f t="shared" si="43"/>
        <v>2.6961196849018552</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Sim</v>
      </c>
      <c r="D107" s="291">
        <f>D52</f>
        <v>63991.846794871803</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2.0417195381182149</v>
      </c>
      <c r="G109" s="293">
        <f>IF(G54&gt;0,'R&amp;C-Painel de Controle'!$O69+'R&amp;C-Painel de Controle'!$P69*G54/1000000,0)</f>
        <v>2.0417195381182149</v>
      </c>
      <c r="H109" s="293">
        <f>IF(H54&gt;0,'R&amp;C-Painel de Controle'!$O69+'R&amp;C-Painel de Controle'!$P69*H54/1000000,0)</f>
        <v>2.0417195381182149</v>
      </c>
      <c r="I109" s="293">
        <f>IF(I54&gt;0,'R&amp;C-Painel de Controle'!$O69+'R&amp;C-Painel de Controle'!$P69*I54/1000000,0)</f>
        <v>2.0417195381182149</v>
      </c>
      <c r="J109" s="293">
        <f>IF(J54&gt;0,'R&amp;C-Painel de Controle'!$O69+'R&amp;C-Painel de Controle'!$P69*J54/1000000,0)</f>
        <v>2.0417195381182149</v>
      </c>
      <c r="K109" s="293">
        <f>IF(K54&gt;0,'R&amp;C-Painel de Controle'!$O69+'R&amp;C-Painel de Controle'!$P69*K54/1000000,0)</f>
        <v>2.0417195381182149</v>
      </c>
      <c r="L109" s="293">
        <f>IF(L54&gt;0,'R&amp;C-Painel de Controle'!$O69+'R&amp;C-Painel de Controle'!$P69*L54/1000000,0)</f>
        <v>2.0417195381182149</v>
      </c>
      <c r="M109" s="293">
        <f>IF(M54&gt;0,'R&amp;C-Painel de Controle'!$O69+'R&amp;C-Painel de Controle'!$P69*M54/1000000,0)</f>
        <v>2.0417195381182149</v>
      </c>
      <c r="N109" s="293">
        <f>IF(N54&gt;0,'R&amp;C-Painel de Controle'!$O69+'R&amp;C-Painel de Controle'!$P69*N54/1000000,0)</f>
        <v>2.0417195381182149</v>
      </c>
      <c r="O109" s="293">
        <f>IF(O54&gt;0,'R&amp;C-Painel de Controle'!$O69+'R&amp;C-Painel de Controle'!$P69*O54/1000000,0)</f>
        <v>2.0417195381182149</v>
      </c>
      <c r="P109" s="293">
        <f>IF(P54&gt;0,'R&amp;C-Painel de Controle'!$O69+'R&amp;C-Painel de Controle'!$P69*P54/1000000,0)</f>
        <v>2.0417195381182149</v>
      </c>
      <c r="Q109" s="293">
        <f>IF(Q54&gt;0,'R&amp;C-Painel de Controle'!$O69+'R&amp;C-Painel de Controle'!$P69*Q54/1000000,0)</f>
        <v>2.0417195381182149</v>
      </c>
      <c r="R109" s="280">
        <f t="shared" ref="R109:BC109" si="46">Q109</f>
        <v>2.0417195381182149</v>
      </c>
      <c r="S109" s="280">
        <f t="shared" si="46"/>
        <v>2.0417195381182149</v>
      </c>
      <c r="T109" s="280">
        <f t="shared" si="46"/>
        <v>2.0417195381182149</v>
      </c>
      <c r="U109" s="280">
        <f t="shared" si="46"/>
        <v>2.0417195381182149</v>
      </c>
      <c r="V109" s="280">
        <f t="shared" si="46"/>
        <v>2.0417195381182149</v>
      </c>
      <c r="W109" s="280">
        <f t="shared" si="46"/>
        <v>2.0417195381182149</v>
      </c>
      <c r="X109" s="280">
        <f t="shared" si="46"/>
        <v>2.0417195381182149</v>
      </c>
      <c r="Y109" s="280">
        <f t="shared" si="46"/>
        <v>2.0417195381182149</v>
      </c>
      <c r="Z109" s="280">
        <f t="shared" si="46"/>
        <v>2.0417195381182149</v>
      </c>
      <c r="AA109" s="280">
        <f t="shared" si="46"/>
        <v>2.0417195381182149</v>
      </c>
      <c r="AB109" s="280">
        <f t="shared" si="46"/>
        <v>2.0417195381182149</v>
      </c>
      <c r="AC109" s="280">
        <f t="shared" si="46"/>
        <v>2.0417195381182149</v>
      </c>
      <c r="AD109" s="280">
        <f t="shared" si="46"/>
        <v>2.0417195381182149</v>
      </c>
      <c r="AE109" s="280">
        <f t="shared" si="46"/>
        <v>2.0417195381182149</v>
      </c>
      <c r="AF109" s="280">
        <f t="shared" si="46"/>
        <v>2.0417195381182149</v>
      </c>
      <c r="AG109" s="280">
        <f t="shared" si="46"/>
        <v>2.0417195381182149</v>
      </c>
      <c r="AH109" s="280">
        <f t="shared" si="46"/>
        <v>2.0417195381182149</v>
      </c>
      <c r="AI109" s="280">
        <f t="shared" si="46"/>
        <v>2.0417195381182149</v>
      </c>
      <c r="AJ109" s="280">
        <f t="shared" si="46"/>
        <v>2.0417195381182149</v>
      </c>
      <c r="AK109" s="280">
        <f t="shared" si="46"/>
        <v>2.0417195381182149</v>
      </c>
      <c r="AL109" s="280">
        <f t="shared" si="46"/>
        <v>2.0417195381182149</v>
      </c>
      <c r="AM109" s="280">
        <f t="shared" si="46"/>
        <v>2.0417195381182149</v>
      </c>
      <c r="AN109" s="280">
        <f t="shared" si="46"/>
        <v>2.0417195381182149</v>
      </c>
      <c r="AO109" s="280">
        <f t="shared" si="46"/>
        <v>2.0417195381182149</v>
      </c>
      <c r="AP109" s="280">
        <f t="shared" si="46"/>
        <v>2.0417195381182149</v>
      </c>
      <c r="AQ109" s="280">
        <f t="shared" si="46"/>
        <v>2.0417195381182149</v>
      </c>
      <c r="AR109" s="280">
        <f t="shared" si="46"/>
        <v>2.0417195381182149</v>
      </c>
      <c r="AS109" s="280">
        <f t="shared" si="46"/>
        <v>2.0417195381182149</v>
      </c>
      <c r="AT109" s="280">
        <f t="shared" si="46"/>
        <v>2.0417195381182149</v>
      </c>
      <c r="AU109" s="280">
        <f t="shared" si="46"/>
        <v>2.0417195381182149</v>
      </c>
      <c r="AV109" s="280">
        <f t="shared" si="46"/>
        <v>2.0417195381182149</v>
      </c>
      <c r="AW109" s="280">
        <f t="shared" si="46"/>
        <v>2.0417195381182149</v>
      </c>
      <c r="AX109" s="280">
        <f t="shared" si="46"/>
        <v>2.0417195381182149</v>
      </c>
      <c r="AY109" s="280">
        <f t="shared" si="46"/>
        <v>2.0417195381182149</v>
      </c>
      <c r="AZ109" s="280">
        <f t="shared" si="46"/>
        <v>2.0417195381182149</v>
      </c>
      <c r="BA109" s="280">
        <f t="shared" si="46"/>
        <v>2.0417195381182149</v>
      </c>
      <c r="BB109" s="280">
        <f t="shared" si="46"/>
        <v>2.0417195381182149</v>
      </c>
      <c r="BC109" s="280">
        <f t="shared" si="46"/>
        <v>2.0417195381182149</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77890.802403846174</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7.5236479819925108</v>
      </c>
      <c r="G115" s="293">
        <f>IF(G60&gt;0,'R&amp;C-Painel de Controle'!$O75+'R&amp;C-Painel de Controle'!$P75*G60/1000000,0)</f>
        <v>7.5236479819925108</v>
      </c>
      <c r="H115" s="293">
        <f>IF(H60&gt;0,'R&amp;C-Painel de Controle'!$O75+'R&amp;C-Painel de Controle'!$P75*H60/1000000,0)</f>
        <v>7.5236479819925108</v>
      </c>
      <c r="I115" s="293">
        <f>IF(I60&gt;0,'R&amp;C-Painel de Controle'!$O75+'R&amp;C-Painel de Controle'!$P75*I60/1000000,0)</f>
        <v>7.5236479819925108</v>
      </c>
      <c r="J115" s="293">
        <f>IF(J60&gt;0,'R&amp;C-Painel de Controle'!$O75+'R&amp;C-Painel de Controle'!$P75*J60/1000000,0)</f>
        <v>7.5236479819925108</v>
      </c>
      <c r="K115" s="293">
        <f>IF(K60&gt;0,'R&amp;C-Painel de Controle'!$O75+'R&amp;C-Painel de Controle'!$P75*K60/1000000,0)</f>
        <v>7.5236479819925108</v>
      </c>
      <c r="L115" s="293">
        <f>IF(L60&gt;0,'R&amp;C-Painel de Controle'!$O75+'R&amp;C-Painel de Controle'!$P75*L60/1000000,0)</f>
        <v>7.5236479819925108</v>
      </c>
      <c r="M115" s="293">
        <f>IF(M60&gt;0,'R&amp;C-Painel de Controle'!$O75+'R&amp;C-Painel de Controle'!$P75*M60/1000000,0)</f>
        <v>7.5236479819925108</v>
      </c>
      <c r="N115" s="293">
        <f>IF(N60&gt;0,'R&amp;C-Painel de Controle'!$O75+'R&amp;C-Painel de Controle'!$P75*N60/1000000,0)</f>
        <v>7.5236479819925108</v>
      </c>
      <c r="O115" s="293">
        <f>IF(O60&gt;0,'R&amp;C-Painel de Controle'!$O75+'R&amp;C-Painel de Controle'!$P75*O60/1000000,0)</f>
        <v>7.5236479819925108</v>
      </c>
      <c r="P115" s="293">
        <f>IF(P60&gt;0,'R&amp;C-Painel de Controle'!$O75+'R&amp;C-Painel de Controle'!$P75*P60/1000000,0)</f>
        <v>7.5236479819925108</v>
      </c>
      <c r="Q115" s="293">
        <f>IF(Q60&gt;0,'R&amp;C-Painel de Controle'!$O75+'R&amp;C-Painel de Controle'!$P75*Q60/1000000,0)</f>
        <v>7.5236479819925108</v>
      </c>
      <c r="R115" s="280">
        <f t="shared" ref="R115:BC115" si="48">Q115</f>
        <v>7.5236479819925108</v>
      </c>
      <c r="S115" s="280">
        <f t="shared" si="48"/>
        <v>7.5236479819925108</v>
      </c>
      <c r="T115" s="280">
        <f t="shared" si="48"/>
        <v>7.5236479819925108</v>
      </c>
      <c r="U115" s="280">
        <f t="shared" si="48"/>
        <v>7.5236479819925108</v>
      </c>
      <c r="V115" s="280">
        <f t="shared" si="48"/>
        <v>7.5236479819925108</v>
      </c>
      <c r="W115" s="280">
        <f t="shared" si="48"/>
        <v>7.5236479819925108</v>
      </c>
      <c r="X115" s="280">
        <f t="shared" si="48"/>
        <v>7.5236479819925108</v>
      </c>
      <c r="Y115" s="280">
        <f t="shared" si="48"/>
        <v>7.5236479819925108</v>
      </c>
      <c r="Z115" s="280">
        <f t="shared" si="48"/>
        <v>7.5236479819925108</v>
      </c>
      <c r="AA115" s="280">
        <f t="shared" si="48"/>
        <v>7.5236479819925108</v>
      </c>
      <c r="AB115" s="280">
        <f t="shared" si="48"/>
        <v>7.5236479819925108</v>
      </c>
      <c r="AC115" s="280">
        <f t="shared" si="48"/>
        <v>7.5236479819925108</v>
      </c>
      <c r="AD115" s="280">
        <f t="shared" si="48"/>
        <v>7.5236479819925108</v>
      </c>
      <c r="AE115" s="280">
        <f t="shared" si="48"/>
        <v>7.5236479819925108</v>
      </c>
      <c r="AF115" s="280">
        <f t="shared" si="48"/>
        <v>7.5236479819925108</v>
      </c>
      <c r="AG115" s="280">
        <f t="shared" si="48"/>
        <v>7.5236479819925108</v>
      </c>
      <c r="AH115" s="280">
        <f t="shared" si="48"/>
        <v>7.5236479819925108</v>
      </c>
      <c r="AI115" s="280">
        <f t="shared" si="48"/>
        <v>7.5236479819925108</v>
      </c>
      <c r="AJ115" s="280">
        <f t="shared" si="48"/>
        <v>7.5236479819925108</v>
      </c>
      <c r="AK115" s="280">
        <f t="shared" si="48"/>
        <v>7.5236479819925108</v>
      </c>
      <c r="AL115" s="280">
        <f t="shared" si="48"/>
        <v>7.5236479819925108</v>
      </c>
      <c r="AM115" s="280">
        <f t="shared" si="48"/>
        <v>7.5236479819925108</v>
      </c>
      <c r="AN115" s="280">
        <f t="shared" si="48"/>
        <v>7.5236479819925108</v>
      </c>
      <c r="AO115" s="280">
        <f t="shared" si="48"/>
        <v>7.5236479819925108</v>
      </c>
      <c r="AP115" s="280">
        <f t="shared" si="48"/>
        <v>7.5236479819925108</v>
      </c>
      <c r="AQ115" s="280">
        <f t="shared" si="48"/>
        <v>7.5236479819925108</v>
      </c>
      <c r="AR115" s="280">
        <f t="shared" si="48"/>
        <v>7.5236479819925108</v>
      </c>
      <c r="AS115" s="280">
        <f t="shared" si="48"/>
        <v>7.5236479819925108</v>
      </c>
      <c r="AT115" s="280">
        <f t="shared" si="48"/>
        <v>7.5236479819925108</v>
      </c>
      <c r="AU115" s="280">
        <f t="shared" si="48"/>
        <v>7.5236479819925108</v>
      </c>
      <c r="AV115" s="280">
        <f t="shared" si="48"/>
        <v>7.5236479819925108</v>
      </c>
      <c r="AW115" s="280">
        <f t="shared" si="48"/>
        <v>7.5236479819925108</v>
      </c>
      <c r="AX115" s="280">
        <f t="shared" si="48"/>
        <v>7.5236479819925108</v>
      </c>
      <c r="AY115" s="280">
        <f t="shared" si="48"/>
        <v>7.5236479819925108</v>
      </c>
      <c r="AZ115" s="280">
        <f t="shared" si="48"/>
        <v>7.5236479819925108</v>
      </c>
      <c r="BA115" s="280">
        <f t="shared" si="48"/>
        <v>7.5236479819925108</v>
      </c>
      <c r="BB115" s="280">
        <f t="shared" si="48"/>
        <v>7.5236479819925108</v>
      </c>
      <c r="BC115" s="280">
        <f t="shared" si="48"/>
        <v>7.5236479819925108</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2.9460975</v>
      </c>
      <c r="D117" s="281">
        <f>IF('R-Definição'!$E$121="Existente",D90+((('R&amp;C-Painel de Controle'!$D$88+'R&amp;C-Painel de Controle'!$D$89)*('R&amp;C-Painel de Controle'!$D$44+'R&amp;C-Painel de Controle'!$D$46))/1000000),D90+((('R&amp;C-Painel de Controle'!$D$88)*('R&amp;C-Painel de Controle'!$D$44+'R&amp;C-Painel de Controle'!$D$46))/1000000))</f>
        <v>2.9460975</v>
      </c>
      <c r="E117" s="281">
        <f>IF('R-Definição'!$E$121="Existente",E90+((('R&amp;C-Painel de Controle'!$D$88+'R&amp;C-Painel de Controle'!$D$89)*('R&amp;C-Painel de Controle'!$D$44+'R&amp;C-Painel de Controle'!$D$46))/1000000),E90+((('R&amp;C-Painel de Controle'!$D$88)*('R&amp;C-Painel de Controle'!$D$44+'R&amp;C-Painel de Controle'!$D$46))/1000000))</f>
        <v>2.9460975</v>
      </c>
      <c r="F117" s="281">
        <f>IF('R-Definição'!$E$121="Existente",F90+((('R&amp;C-Painel de Controle'!$D$88+'R&amp;C-Painel de Controle'!$D$89)*('R&amp;C-Painel de Controle'!$D$44+'R&amp;C-Painel de Controle'!$D$46))/1000000),F90+((('R&amp;C-Painel de Controle'!$D$88)*('R&amp;C-Painel de Controle'!$D$44+'R&amp;C-Painel de Controle'!$D$46))/1000000))</f>
        <v>27.331513322833175</v>
      </c>
      <c r="G117" s="281">
        <f>IF('R-Definição'!$E$121="Existente",G90+((('R&amp;C-Painel de Controle'!$D$88+'R&amp;C-Painel de Controle'!$D$89)*('R&amp;C-Painel de Controle'!$D$44+'R&amp;C-Painel de Controle'!$D$46))/1000000),G90+((('R&amp;C-Painel de Controle'!$D$88)*('R&amp;C-Painel de Controle'!$D$44+'R&amp;C-Painel de Controle'!$D$46))/1000000))</f>
        <v>27.331513322833175</v>
      </c>
      <c r="H117" s="281">
        <f>IF('R-Definição'!$E$121="Existente",H90+((('R&amp;C-Painel de Controle'!$D$88+'R&amp;C-Painel de Controle'!$D$89)*('R&amp;C-Painel de Controle'!$D$44+'R&amp;C-Painel de Controle'!$D$46))/1000000),H90+((('R&amp;C-Painel de Controle'!$D$88)*('R&amp;C-Painel de Controle'!$D$44+'R&amp;C-Painel de Controle'!$D$46))/1000000))</f>
        <v>27.331513322833175</v>
      </c>
      <c r="I117" s="281">
        <f>IF('R-Definição'!$E$121="Existente",I90+((('R&amp;C-Painel de Controle'!$D$88+'R&amp;C-Painel de Controle'!$D$89)*('R&amp;C-Painel de Controle'!$D$44+'R&amp;C-Painel de Controle'!$D$46))/1000000),I90+((('R&amp;C-Painel de Controle'!$D$88)*('R&amp;C-Painel de Controle'!$D$44+'R&amp;C-Painel de Controle'!$D$46))/1000000))</f>
        <v>27.331513322833175</v>
      </c>
      <c r="J117" s="281">
        <f>IF('R-Definição'!$E$121="Existente",J90+((('R&amp;C-Painel de Controle'!$D$88+'R&amp;C-Painel de Controle'!$D$89)*('R&amp;C-Painel de Controle'!$D$44+'R&amp;C-Painel de Controle'!$D$46))/1000000),J90+((('R&amp;C-Painel de Controle'!$D$88)*('R&amp;C-Painel de Controle'!$D$44+'R&amp;C-Painel de Controle'!$D$46))/1000000))</f>
        <v>27.331513322833175</v>
      </c>
      <c r="K117" s="281">
        <f>IF('R-Definição'!$E$121="Existente",K90+((('R&amp;C-Painel de Controle'!$D$88+'R&amp;C-Painel de Controle'!$D$89)*('R&amp;C-Painel de Controle'!$D$44+'R&amp;C-Painel de Controle'!$D$46))/1000000),K90+((('R&amp;C-Painel de Controle'!$D$88)*('R&amp;C-Painel de Controle'!$D$44+'R&amp;C-Painel de Controle'!$D$46))/1000000))</f>
        <v>27.331513322833175</v>
      </c>
      <c r="L117" s="281">
        <f>IF('R-Definição'!$E$121="Existente",L90+((('R&amp;C-Painel de Controle'!$D$88+'R&amp;C-Painel de Controle'!$D$89)*('R&amp;C-Painel de Controle'!$D$44+'R&amp;C-Painel de Controle'!$D$46))/1000000),L90+((('R&amp;C-Painel de Controle'!$D$88)*('R&amp;C-Painel de Controle'!$D$44+'R&amp;C-Painel de Controle'!$D$46))/1000000))</f>
        <v>27.331513322833175</v>
      </c>
      <c r="M117" s="281">
        <f>IF('R-Definição'!$E$121="Existente",M90+((('R&amp;C-Painel de Controle'!$D$88+'R&amp;C-Painel de Controle'!$D$89)*('R&amp;C-Painel de Controle'!$D$44+'R&amp;C-Painel de Controle'!$D$46))/1000000),M90+((('R&amp;C-Painel de Controle'!$D$88)*('R&amp;C-Painel de Controle'!$D$44+'R&amp;C-Painel de Controle'!$D$46))/1000000))</f>
        <v>27.331513322833175</v>
      </c>
      <c r="N117" s="281">
        <f>IF('R-Definição'!$E$121="Existente",N90+((('R&amp;C-Painel de Controle'!$D$88+'R&amp;C-Painel de Controle'!$D$89)*('R&amp;C-Painel de Controle'!$D$44+'R&amp;C-Painel de Controle'!$D$46))/1000000),N90+((('R&amp;C-Painel de Controle'!$D$88)*('R&amp;C-Painel de Controle'!$D$44+'R&amp;C-Painel de Controle'!$D$46))/1000000))</f>
        <v>27.331513322833175</v>
      </c>
      <c r="O117" s="281">
        <f>IF('R-Definição'!$E$121="Existente",O90+((('R&amp;C-Painel de Controle'!$D$88+'R&amp;C-Painel de Controle'!$D$89)*('R&amp;C-Painel de Controle'!$D$44+'R&amp;C-Painel de Controle'!$D$46))/1000000),O90+((('R&amp;C-Painel de Controle'!$D$88)*('R&amp;C-Painel de Controle'!$D$44+'R&amp;C-Painel de Controle'!$D$46))/1000000))</f>
        <v>27.331513322833175</v>
      </c>
      <c r="P117" s="281">
        <f>IF('R-Definição'!$E$121="Existente",P90+((('R&amp;C-Painel de Controle'!$D$88+'R&amp;C-Painel de Controle'!$D$89)*('R&amp;C-Painel de Controle'!$D$44+'R&amp;C-Painel de Controle'!$D$46))/1000000),P90+((('R&amp;C-Painel de Controle'!$D$88)*('R&amp;C-Painel de Controle'!$D$44+'R&amp;C-Painel de Controle'!$D$46))/1000000))</f>
        <v>27.331513322833175</v>
      </c>
      <c r="Q117" s="281">
        <f>IF('R-Definição'!$E$121="Existente",Q90+((('R&amp;C-Painel de Controle'!$D$88+'R&amp;C-Painel de Controle'!$D$89)*('R&amp;C-Painel de Controle'!$D$44+'R&amp;C-Painel de Controle'!$D$46))/1000000),Q90+((('R&amp;C-Painel de Controle'!$D$88)*('R&amp;C-Painel de Controle'!$D$44+'R&amp;C-Painel de Controle'!$D$46))/1000000))</f>
        <v>27.331513322833175</v>
      </c>
      <c r="R117" s="281">
        <f>IF('R-Definição'!$E$121="Existente",R90+((('R&amp;C-Painel de Controle'!$D$88+'R&amp;C-Painel de Controle'!$D$89)*('R&amp;C-Painel de Controle'!$D$44+'R&amp;C-Painel de Controle'!$D$46))/1000000),R90+((('R&amp;C-Painel de Controle'!$D$88)*('R&amp;C-Painel de Controle'!$D$44+'R&amp;C-Painel de Controle'!$D$46))/1000000))</f>
        <v>27.331513322833175</v>
      </c>
      <c r="S117" s="281">
        <f>IF('R-Definição'!$E$121="Existente",S90+((('R&amp;C-Painel de Controle'!$D$88+'R&amp;C-Painel de Controle'!$D$89)*('R&amp;C-Painel de Controle'!$D$44+'R&amp;C-Painel de Controle'!$D$46))/1000000),S90+((('R&amp;C-Painel de Controle'!$D$88)*('R&amp;C-Painel de Controle'!$D$44+'R&amp;C-Painel de Controle'!$D$46))/1000000))</f>
        <v>27.331513322833175</v>
      </c>
      <c r="T117" s="281">
        <f>IF('R-Definição'!$E$121="Existente",T90+((('R&amp;C-Painel de Controle'!$D$88+'R&amp;C-Painel de Controle'!$D$89)*('R&amp;C-Painel de Controle'!$D$44+'R&amp;C-Painel de Controle'!$D$46))/1000000),T90+((('R&amp;C-Painel de Controle'!$D$88)*('R&amp;C-Painel de Controle'!$D$44+'R&amp;C-Painel de Controle'!$D$46))/1000000))</f>
        <v>27.331513322833175</v>
      </c>
      <c r="U117" s="281">
        <f>IF('R-Definição'!$E$121="Existente",U90+((('R&amp;C-Painel de Controle'!$D$88+'R&amp;C-Painel de Controle'!$D$89)*('R&amp;C-Painel de Controle'!$D$44+'R&amp;C-Painel de Controle'!$D$46))/1000000),U90+((('R&amp;C-Painel de Controle'!$D$88)*('R&amp;C-Painel de Controle'!$D$44+'R&amp;C-Painel de Controle'!$D$46))/1000000))</f>
        <v>27.331513322833175</v>
      </c>
      <c r="V117" s="281">
        <f>IF('R-Definição'!$E$121="Existente",V90+((('R&amp;C-Painel de Controle'!$D$88+'R&amp;C-Painel de Controle'!$D$89)*('R&amp;C-Painel de Controle'!$D$44+'R&amp;C-Painel de Controle'!$D$46))/1000000),V90+((('R&amp;C-Painel de Controle'!$D$88)*('R&amp;C-Painel de Controle'!$D$44+'R&amp;C-Painel de Controle'!$D$46))/1000000))</f>
        <v>27.331513322833175</v>
      </c>
      <c r="W117" s="281">
        <f>IF('R-Definição'!$E$121="Existente",W90+((('R&amp;C-Painel de Controle'!$D$88+'R&amp;C-Painel de Controle'!$D$89)*('R&amp;C-Painel de Controle'!$D$44+'R&amp;C-Painel de Controle'!$D$46))/1000000),W90+((('R&amp;C-Painel de Controle'!$D$88)*('R&amp;C-Painel de Controle'!$D$44+'R&amp;C-Painel de Controle'!$D$46))/1000000))</f>
        <v>27.331513322833175</v>
      </c>
      <c r="X117" s="281">
        <f>IF('R-Definição'!$E$121="Existente",X90+((('R&amp;C-Painel de Controle'!$D$88+'R&amp;C-Painel de Controle'!$D$89)*('R&amp;C-Painel de Controle'!$D$44+'R&amp;C-Painel de Controle'!$D$46))/1000000),X90+((('R&amp;C-Painel de Controle'!$D$88)*('R&amp;C-Painel de Controle'!$D$44+'R&amp;C-Painel de Controle'!$D$46))/1000000))</f>
        <v>27.331513322833175</v>
      </c>
      <c r="Y117" s="281">
        <f>IF('R-Definição'!$E$121="Existente",Y90+((('R&amp;C-Painel de Controle'!$D$88+'R&amp;C-Painel de Controle'!$D$89)*('R&amp;C-Painel de Controle'!$D$44+'R&amp;C-Painel de Controle'!$D$46))/1000000),Y90+((('R&amp;C-Painel de Controle'!$D$88)*('R&amp;C-Painel de Controle'!$D$44+'R&amp;C-Painel de Controle'!$D$46))/1000000))</f>
        <v>27.331513322833175</v>
      </c>
      <c r="Z117" s="281">
        <f>IF('R-Definição'!$E$121="Existente",Z90+((('R&amp;C-Painel de Controle'!$D$88+'R&amp;C-Painel de Controle'!$D$89)*('R&amp;C-Painel de Controle'!$D$44+'R&amp;C-Painel de Controle'!$D$46))/1000000),Z90+((('R&amp;C-Painel de Controle'!$D$88)*('R&amp;C-Painel de Controle'!$D$44+'R&amp;C-Painel de Controle'!$D$46))/1000000))</f>
        <v>27.331513322833175</v>
      </c>
      <c r="AA117" s="281">
        <f>IF('R-Definição'!$E$121="Existente",AA90+((('R&amp;C-Painel de Controle'!$D$88+'R&amp;C-Painel de Controle'!$D$89)*('R&amp;C-Painel de Controle'!$D$44+'R&amp;C-Painel de Controle'!$D$46))/1000000),AA90+((('R&amp;C-Painel de Controle'!$D$88)*('R&amp;C-Painel de Controle'!$D$44+'R&amp;C-Painel de Controle'!$D$46))/1000000))</f>
        <v>27.331513322833175</v>
      </c>
      <c r="AB117" s="281">
        <f>IF('R-Definição'!$E$121="Existente",AB90+((('R&amp;C-Painel de Controle'!$D$88+'R&amp;C-Painel de Controle'!$D$89)*('R&amp;C-Painel de Controle'!$D$44+'R&amp;C-Painel de Controle'!$D$46))/1000000),AB90+((('R&amp;C-Painel de Controle'!$D$88)*('R&amp;C-Painel de Controle'!$D$44+'R&amp;C-Painel de Controle'!$D$46))/1000000))</f>
        <v>27.331513322833175</v>
      </c>
      <c r="AC117" s="281">
        <f>IF('R-Definição'!$E$121="Existente",AC90+((('R&amp;C-Painel de Controle'!$D$88+'R&amp;C-Painel de Controle'!$D$89)*('R&amp;C-Painel de Controle'!$D$44+'R&amp;C-Painel de Controle'!$D$46))/1000000),AC90+((('R&amp;C-Painel de Controle'!$D$88)*('R&amp;C-Painel de Controle'!$D$44+'R&amp;C-Painel de Controle'!$D$46))/1000000))</f>
        <v>27.331513322833175</v>
      </c>
      <c r="AD117" s="281">
        <f>IF('R-Definição'!$E$121="Existente",AD90+((('R&amp;C-Painel de Controle'!$D$88+'R&amp;C-Painel de Controle'!$D$89)*('R&amp;C-Painel de Controle'!$D$44+'R&amp;C-Painel de Controle'!$D$46))/1000000),AD90+((('R&amp;C-Painel de Controle'!$D$88)*('R&amp;C-Painel de Controle'!$D$44+'R&amp;C-Painel de Controle'!$D$46))/1000000))</f>
        <v>27.331513322833175</v>
      </c>
      <c r="AE117" s="281">
        <f>IF('R-Definição'!$E$121="Existente",AE90+((('R&amp;C-Painel de Controle'!$D$88+'R&amp;C-Painel de Controle'!$D$89)*('R&amp;C-Painel de Controle'!$D$44+'R&amp;C-Painel de Controle'!$D$46))/1000000),AE90+((('R&amp;C-Painel de Controle'!$D$88)*('R&amp;C-Painel de Controle'!$D$44+'R&amp;C-Painel de Controle'!$D$46))/1000000))</f>
        <v>27.331513322833175</v>
      </c>
      <c r="AF117" s="281">
        <f>IF('R-Definição'!$E$121="Existente",AF90+((('R&amp;C-Painel de Controle'!$D$88+'R&amp;C-Painel de Controle'!$D$89)*('R&amp;C-Painel de Controle'!$D$44+'R&amp;C-Painel de Controle'!$D$46))/1000000),AF90+((('R&amp;C-Painel de Controle'!$D$88)*('R&amp;C-Painel de Controle'!$D$44+'R&amp;C-Painel de Controle'!$D$46))/1000000))</f>
        <v>27.331513322833175</v>
      </c>
      <c r="AG117" s="281">
        <f>IF('R-Definição'!$E$121="Existente",AG90+((('R&amp;C-Painel de Controle'!$D$88+'R&amp;C-Painel de Controle'!$D$89)*('R&amp;C-Painel de Controle'!$D$44+'R&amp;C-Painel de Controle'!$D$46))/1000000),AG90+((('R&amp;C-Painel de Controle'!$D$88)*('R&amp;C-Painel de Controle'!$D$44+'R&amp;C-Painel de Controle'!$D$46))/1000000))</f>
        <v>27.331513322833175</v>
      </c>
      <c r="AH117" s="281">
        <f>IF('R-Definição'!$E$121="Existente",AH90+((('R&amp;C-Painel de Controle'!$D$88+'R&amp;C-Painel de Controle'!$D$89)*('R&amp;C-Painel de Controle'!$D$44+'R&amp;C-Painel de Controle'!$D$46))/1000000),AH90+((('R&amp;C-Painel de Controle'!$D$88)*('R&amp;C-Painel de Controle'!$D$44+'R&amp;C-Painel de Controle'!$D$46))/1000000))</f>
        <v>27.331513322833175</v>
      </c>
      <c r="AI117" s="281">
        <f>IF('R-Definição'!$E$121="Existente",AI90+((('R&amp;C-Painel de Controle'!$D$88+'R&amp;C-Painel de Controle'!$D$89)*('R&amp;C-Painel de Controle'!$D$44+'R&amp;C-Painel de Controle'!$D$46))/1000000),AI90+((('R&amp;C-Painel de Controle'!$D$88)*('R&amp;C-Painel de Controle'!$D$44+'R&amp;C-Painel de Controle'!$D$46))/1000000))</f>
        <v>27.331513322833175</v>
      </c>
      <c r="AJ117" s="281">
        <f>IF('R-Definição'!$E$121="Existente",AJ90+((('R&amp;C-Painel de Controle'!$D$88+'R&amp;C-Painel de Controle'!$D$89)*('R&amp;C-Painel de Controle'!$D$44+'R&amp;C-Painel de Controle'!$D$46))/1000000),AJ90+((('R&amp;C-Painel de Controle'!$D$88)*('R&amp;C-Painel de Controle'!$D$44+'R&amp;C-Painel de Controle'!$D$46))/1000000))</f>
        <v>27.331513322833175</v>
      </c>
      <c r="AK117" s="281">
        <f>IF('R-Definição'!$E$121="Existente",AK90+((('R&amp;C-Painel de Controle'!$D$88+'R&amp;C-Painel de Controle'!$D$89)*('R&amp;C-Painel de Controle'!$D$44+'R&amp;C-Painel de Controle'!$D$46))/1000000),AK90+((('R&amp;C-Painel de Controle'!$D$88)*('R&amp;C-Painel de Controle'!$D$44+'R&amp;C-Painel de Controle'!$D$46))/1000000))</f>
        <v>27.331513322833175</v>
      </c>
      <c r="AL117" s="281">
        <f>IF('R-Definição'!$E$121="Existente",AL90+((('R&amp;C-Painel de Controle'!$D$88+'R&amp;C-Painel de Controle'!$D$89)*('R&amp;C-Painel de Controle'!$D$44+'R&amp;C-Painel de Controle'!$D$46))/1000000),AL90+((('R&amp;C-Painel de Controle'!$D$88)*('R&amp;C-Painel de Controle'!$D$44+'R&amp;C-Painel de Controle'!$D$46))/1000000))</f>
        <v>27.331513322833175</v>
      </c>
      <c r="AM117" s="281">
        <f>IF('R-Definição'!$E$121="Existente",AM90+((('R&amp;C-Painel de Controle'!$D$88+'R&amp;C-Painel de Controle'!$D$89)*('R&amp;C-Painel de Controle'!$D$44+'R&amp;C-Painel de Controle'!$D$46))/1000000),AM90+((('R&amp;C-Painel de Controle'!$D$88)*('R&amp;C-Painel de Controle'!$D$44+'R&amp;C-Painel de Controle'!$D$46))/1000000))</f>
        <v>27.331513322833175</v>
      </c>
      <c r="AN117" s="281">
        <f>IF('R-Definição'!$E$121="Existente",AN90+((('R&amp;C-Painel de Controle'!$D$88+'R&amp;C-Painel de Controle'!$D$89)*('R&amp;C-Painel de Controle'!$D$44+'R&amp;C-Painel de Controle'!$D$46))/1000000),AN90+((('R&amp;C-Painel de Controle'!$D$88)*('R&amp;C-Painel de Controle'!$D$44+'R&amp;C-Painel de Controle'!$D$46))/1000000))</f>
        <v>27.331513322833175</v>
      </c>
      <c r="AO117" s="281">
        <f>IF('R-Definição'!$E$121="Existente",AO90+((('R&amp;C-Painel de Controle'!$D$88+'R&amp;C-Painel de Controle'!$D$89)*('R&amp;C-Painel de Controle'!$D$44+'R&amp;C-Painel de Controle'!$D$46))/1000000),AO90+((('R&amp;C-Painel de Controle'!$D$88)*('R&amp;C-Painel de Controle'!$D$44+'R&amp;C-Painel de Controle'!$D$46))/1000000))</f>
        <v>27.331513322833175</v>
      </c>
      <c r="AP117" s="281">
        <f>IF('R-Definição'!$E$121="Existente",AP90+((('R&amp;C-Painel de Controle'!$D$88+'R&amp;C-Painel de Controle'!$D$89)*('R&amp;C-Painel de Controle'!$D$44+'R&amp;C-Painel de Controle'!$D$46))/1000000),AP90+((('R&amp;C-Painel de Controle'!$D$88)*('R&amp;C-Painel de Controle'!$D$44+'R&amp;C-Painel de Controle'!$D$46))/1000000))</f>
        <v>27.331513322833175</v>
      </c>
      <c r="AQ117" s="281">
        <f>IF('R-Definição'!$E$121="Existente",AQ90+((('R&amp;C-Painel de Controle'!$D$88+'R&amp;C-Painel de Controle'!$D$89)*('R&amp;C-Painel de Controle'!$D$44+'R&amp;C-Painel de Controle'!$D$46))/1000000),AQ90+((('R&amp;C-Painel de Controle'!$D$88)*('R&amp;C-Painel de Controle'!$D$44+'R&amp;C-Painel de Controle'!$D$46))/1000000))</f>
        <v>27.331513322833175</v>
      </c>
      <c r="AR117" s="281">
        <f>IF('R-Definição'!$E$121="Existente",AR90+((('R&amp;C-Painel de Controle'!$D$88+'R&amp;C-Painel de Controle'!$D$89)*('R&amp;C-Painel de Controle'!$D$44+'R&amp;C-Painel de Controle'!$D$46))/1000000),AR90+((('R&amp;C-Painel de Controle'!$D$88)*('R&amp;C-Painel de Controle'!$D$44+'R&amp;C-Painel de Controle'!$D$46))/1000000))</f>
        <v>27.331513322833175</v>
      </c>
      <c r="AS117" s="281">
        <f>IF('R-Definição'!$E$121="Existente",AS90+((('R&amp;C-Painel de Controle'!$D$88+'R&amp;C-Painel de Controle'!$D$89)*('R&amp;C-Painel de Controle'!$D$44+'R&amp;C-Painel de Controle'!$D$46))/1000000),AS90+((('R&amp;C-Painel de Controle'!$D$88)*('R&amp;C-Painel de Controle'!$D$44+'R&amp;C-Painel de Controle'!$D$46))/1000000))</f>
        <v>27.331513322833175</v>
      </c>
      <c r="AT117" s="281">
        <f>IF('R-Definição'!$E$121="Existente",AT90+((('R&amp;C-Painel de Controle'!$D$88+'R&amp;C-Painel de Controle'!$D$89)*('R&amp;C-Painel de Controle'!$D$44+'R&amp;C-Painel de Controle'!$D$46))/1000000),AT90+((('R&amp;C-Painel de Controle'!$D$88)*('R&amp;C-Painel de Controle'!$D$44+'R&amp;C-Painel de Controle'!$D$46))/1000000))</f>
        <v>27.331513322833175</v>
      </c>
      <c r="AU117" s="281">
        <f>IF('R-Definição'!$E$121="Existente",AU90+((('R&amp;C-Painel de Controle'!$D$88+'R&amp;C-Painel de Controle'!$D$89)*('R&amp;C-Painel de Controle'!$D$44+'R&amp;C-Painel de Controle'!$D$46))/1000000),AU90+((('R&amp;C-Painel de Controle'!$D$88)*('R&amp;C-Painel de Controle'!$D$44+'R&amp;C-Painel de Controle'!$D$46))/1000000))</f>
        <v>27.331513322833175</v>
      </c>
      <c r="AV117" s="281">
        <f>IF('R-Definição'!$E$121="Existente",AV90+((('R&amp;C-Painel de Controle'!$D$88+'R&amp;C-Painel de Controle'!$D$89)*('R&amp;C-Painel de Controle'!$D$44+'R&amp;C-Painel de Controle'!$D$46))/1000000),AV90+((('R&amp;C-Painel de Controle'!$D$88)*('R&amp;C-Painel de Controle'!$D$44+'R&amp;C-Painel de Controle'!$D$46))/1000000))</f>
        <v>27.331513322833175</v>
      </c>
      <c r="AW117" s="281">
        <f>IF('R-Definição'!$E$121="Existente",AW90+((('R&amp;C-Painel de Controle'!$D$88+'R&amp;C-Painel de Controle'!$D$89)*('R&amp;C-Painel de Controle'!$D$44+'R&amp;C-Painel de Controle'!$D$46))/1000000),AW90+((('R&amp;C-Painel de Controle'!$D$88)*('R&amp;C-Painel de Controle'!$D$44+'R&amp;C-Painel de Controle'!$D$46))/1000000))</f>
        <v>27.331513322833175</v>
      </c>
      <c r="AX117" s="281">
        <f>IF('R-Definição'!$E$121="Existente",AX90+((('R&amp;C-Painel de Controle'!$D$88+'R&amp;C-Painel de Controle'!$D$89)*('R&amp;C-Painel de Controle'!$D$44+'R&amp;C-Painel de Controle'!$D$46))/1000000),AX90+((('R&amp;C-Painel de Controle'!$D$88)*('R&amp;C-Painel de Controle'!$D$44+'R&amp;C-Painel de Controle'!$D$46))/1000000))</f>
        <v>27.331513322833175</v>
      </c>
      <c r="AY117" s="281">
        <f>IF('R-Definição'!$E$121="Existente",AY90+((('R&amp;C-Painel de Controle'!$D$88+'R&amp;C-Painel de Controle'!$D$89)*('R&amp;C-Painel de Controle'!$D$44+'R&amp;C-Painel de Controle'!$D$46))/1000000),AY90+((('R&amp;C-Painel de Controle'!$D$88)*('R&amp;C-Painel de Controle'!$D$44+'R&amp;C-Painel de Controle'!$D$46))/1000000))</f>
        <v>27.331513322833175</v>
      </c>
      <c r="AZ117" s="281">
        <f>IF('R-Definição'!$E$121="Existente",AZ90+((('R&amp;C-Painel de Controle'!$D$88+'R&amp;C-Painel de Controle'!$D$89)*('R&amp;C-Painel de Controle'!$D$44+'R&amp;C-Painel de Controle'!$D$46))/1000000),AZ90+((('R&amp;C-Painel de Controle'!$D$88)*('R&amp;C-Painel de Controle'!$D$44+'R&amp;C-Painel de Controle'!$D$46))/1000000))</f>
        <v>27.331513322833175</v>
      </c>
      <c r="BA117" s="281">
        <f>IF('R-Definição'!$E$121="Existente",BA90+((('R&amp;C-Painel de Controle'!$D$88+'R&amp;C-Painel de Controle'!$D$89)*('R&amp;C-Painel de Controle'!$D$44+'R&amp;C-Painel de Controle'!$D$46))/1000000),BA90+((('R&amp;C-Painel de Controle'!$D$88)*('R&amp;C-Painel de Controle'!$D$44+'R&amp;C-Painel de Controle'!$D$46))/1000000))</f>
        <v>27.331513322833175</v>
      </c>
      <c r="BB117" s="281">
        <f>IF('R-Definição'!$E$121="Existente",BB90+((('R&amp;C-Painel de Controle'!$D$88+'R&amp;C-Painel de Controle'!$D$89)*('R&amp;C-Painel de Controle'!$D$44+'R&amp;C-Painel de Controle'!$D$46))/1000000),BB90+((('R&amp;C-Painel de Controle'!$D$88)*('R&amp;C-Painel de Controle'!$D$44+'R&amp;C-Painel de Controle'!$D$46))/1000000))</f>
        <v>27.331513322833175</v>
      </c>
      <c r="BC117" s="281">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3.9460975</v>
      </c>
      <c r="D119" s="281">
        <f>(D117+'R&amp;C-Painel de Controle'!$D$28)*(1+$C$118)</f>
        <v>3.9460975</v>
      </c>
      <c r="E119" s="281">
        <f>(E117+'R&amp;C-Painel de Controle'!$D$28)*(1+$C$118)</f>
        <v>3.9460975</v>
      </c>
      <c r="F119" s="281">
        <f>(F117+'R&amp;C-Painel de Controle'!$D$28)*(1+$C$118)</f>
        <v>28.331513322833175</v>
      </c>
      <c r="G119" s="281">
        <f>(G117+'R&amp;C-Painel de Controle'!$D$28)*(1+$C$118)</f>
        <v>28.331513322833175</v>
      </c>
      <c r="H119" s="281">
        <f>(H117+'R&amp;C-Painel de Controle'!$D$28)*(1+$C$118)</f>
        <v>28.331513322833175</v>
      </c>
      <c r="I119" s="281">
        <f>(I117+'R&amp;C-Painel de Controle'!$D$28)*(1+$C$118)</f>
        <v>28.331513322833175</v>
      </c>
      <c r="J119" s="281">
        <f>(J117+'R&amp;C-Painel de Controle'!$D$28)*(1+$C$118)</f>
        <v>28.331513322833175</v>
      </c>
      <c r="K119" s="281">
        <f>(K117+'R&amp;C-Painel de Controle'!$D$28)*(1+$C$118)</f>
        <v>28.331513322833175</v>
      </c>
      <c r="L119" s="281">
        <f>(L117+'R&amp;C-Painel de Controle'!$D$28)*(1+$C$118)</f>
        <v>28.331513322833175</v>
      </c>
      <c r="M119" s="281">
        <f>(M117+'R&amp;C-Painel de Controle'!$D$28)*(1+$C$118)</f>
        <v>28.331513322833175</v>
      </c>
      <c r="N119" s="281">
        <f>(N117+'R&amp;C-Painel de Controle'!$D$28)*(1+$C$118)</f>
        <v>28.331513322833175</v>
      </c>
      <c r="O119" s="281">
        <f>(O117+'R&amp;C-Painel de Controle'!$D$28)*(1+$C$118)</f>
        <v>28.331513322833175</v>
      </c>
      <c r="P119" s="281">
        <f>(P117+'R&amp;C-Painel de Controle'!$D$28)*(1+$C$118)</f>
        <v>28.331513322833175</v>
      </c>
      <c r="Q119" s="281">
        <f>(Q117+'R&amp;C-Painel de Controle'!$D$28)*(1+$C$118)</f>
        <v>28.331513322833175</v>
      </c>
      <c r="R119" s="281">
        <f>(R117+'R&amp;C-Painel de Controle'!$D$28)*(1+$C$118)</f>
        <v>28.331513322833175</v>
      </c>
      <c r="S119" s="281">
        <f>(S117+'R&amp;C-Painel de Controle'!$D$28)*(1+$C$118)</f>
        <v>28.331513322833175</v>
      </c>
      <c r="T119" s="281">
        <f>(T117+'R&amp;C-Painel de Controle'!$D$28)*(1+$C$118)</f>
        <v>28.331513322833175</v>
      </c>
      <c r="U119" s="281">
        <f>(U117+'R&amp;C-Painel de Controle'!$D$28)*(1+$C$118)</f>
        <v>28.331513322833175</v>
      </c>
      <c r="V119" s="281">
        <f>(V117+'R&amp;C-Painel de Controle'!$D$28)*(1+$C$118)</f>
        <v>28.331513322833175</v>
      </c>
      <c r="W119" s="281">
        <f>(W117+'R&amp;C-Painel de Controle'!$D$28)*(1+$C$118)</f>
        <v>28.331513322833175</v>
      </c>
      <c r="X119" s="281">
        <f>(X117+'R&amp;C-Painel de Controle'!$D$28)*(1+$C$118)</f>
        <v>28.331513322833175</v>
      </c>
      <c r="Y119" s="281">
        <f>(Y117+'R&amp;C-Painel de Controle'!$D$28)*(1+$C$118)</f>
        <v>28.331513322833175</v>
      </c>
      <c r="Z119" s="281">
        <f>(Z117+'R&amp;C-Painel de Controle'!$D$28)*(1+$C$118)</f>
        <v>28.331513322833175</v>
      </c>
      <c r="AA119" s="281">
        <f>(AA117+'R&amp;C-Painel de Controle'!$D$28)*(1+$C$118)</f>
        <v>28.331513322833175</v>
      </c>
      <c r="AB119" s="281">
        <f>(AB117+'R&amp;C-Painel de Controle'!$D$28)*(1+$C$118)</f>
        <v>28.331513322833175</v>
      </c>
      <c r="AC119" s="281">
        <f>(AC117+'R&amp;C-Painel de Controle'!$D$28)*(1+$C$118)</f>
        <v>28.331513322833175</v>
      </c>
      <c r="AD119" s="281">
        <f>(AD117+'R&amp;C-Painel de Controle'!$D$28)*(1+$C$118)</f>
        <v>28.331513322833175</v>
      </c>
      <c r="AE119" s="281">
        <f>(AE117+'R&amp;C-Painel de Controle'!$D$28)*(1+$C$118)</f>
        <v>28.331513322833175</v>
      </c>
      <c r="AF119" s="281">
        <f>(AF117+'R&amp;C-Painel de Controle'!$D$28)*(1+$C$118)</f>
        <v>28.331513322833175</v>
      </c>
      <c r="AG119" s="281">
        <f>(AG117+'R&amp;C-Painel de Controle'!$D$28)*(1+$C$118)</f>
        <v>28.331513322833175</v>
      </c>
      <c r="AH119" s="281">
        <f>(AH117+'R&amp;C-Painel de Controle'!$D$28)*(1+$C$118)</f>
        <v>28.331513322833175</v>
      </c>
      <c r="AI119" s="281">
        <f>(AI117+'R&amp;C-Painel de Controle'!$D$28)*(1+$C$118)</f>
        <v>28.331513322833175</v>
      </c>
      <c r="AJ119" s="281">
        <f>(AJ117+'R&amp;C-Painel de Controle'!$D$28)*(1+$C$118)</f>
        <v>28.331513322833175</v>
      </c>
      <c r="AK119" s="281">
        <f>(AK117+'R&amp;C-Painel de Controle'!$D$28)*(1+$C$118)</f>
        <v>28.331513322833175</v>
      </c>
      <c r="AL119" s="281">
        <f>(AL117+'R&amp;C-Painel de Controle'!$D$28)*(1+$C$118)</f>
        <v>28.331513322833175</v>
      </c>
      <c r="AM119" s="281">
        <f>(AM117+'R&amp;C-Painel de Controle'!$D$28)*(1+$C$118)</f>
        <v>28.331513322833175</v>
      </c>
      <c r="AN119" s="281">
        <f>(AN117+'R&amp;C-Painel de Controle'!$D$28)*(1+$C$118)</f>
        <v>28.331513322833175</v>
      </c>
      <c r="AO119" s="281">
        <f>(AO117+'R&amp;C-Painel de Controle'!$D$28)*(1+$C$118)</f>
        <v>28.331513322833175</v>
      </c>
      <c r="AP119" s="281">
        <f>(AP117+'R&amp;C-Painel de Controle'!$D$28)*(1+$C$118)</f>
        <v>28.331513322833175</v>
      </c>
      <c r="AQ119" s="281">
        <f>(AQ117+'R&amp;C-Painel de Controle'!$D$28)*(1+$C$118)</f>
        <v>28.331513322833175</v>
      </c>
      <c r="AR119" s="281">
        <f>(AR117+'R&amp;C-Painel de Controle'!$D$28)*(1+$C$118)</f>
        <v>28.331513322833175</v>
      </c>
      <c r="AS119" s="281">
        <f>(AS117+'R&amp;C-Painel de Controle'!$D$28)*(1+$C$118)</f>
        <v>28.331513322833175</v>
      </c>
      <c r="AT119" s="281">
        <f>(AT117+'R&amp;C-Painel de Controle'!$D$28)*(1+$C$118)</f>
        <v>28.331513322833175</v>
      </c>
      <c r="AU119" s="281">
        <f>(AU117+'R&amp;C-Painel de Controle'!$D$28)*(1+$C$118)</f>
        <v>28.331513322833175</v>
      </c>
      <c r="AV119" s="281">
        <f>(AV117+'R&amp;C-Painel de Controle'!$D$28)*(1+$C$118)</f>
        <v>28.331513322833175</v>
      </c>
      <c r="AW119" s="281">
        <f>(AW117+'R&amp;C-Painel de Controle'!$D$28)*(1+$C$118)</f>
        <v>28.331513322833175</v>
      </c>
      <c r="AX119" s="281">
        <f>(AX117+'R&amp;C-Painel de Controle'!$D$28)*(1+$C$118)</f>
        <v>28.331513322833175</v>
      </c>
      <c r="AY119" s="281">
        <f>(AY117+'R&amp;C-Painel de Controle'!$D$28)*(1+$C$118)</f>
        <v>28.331513322833175</v>
      </c>
      <c r="AZ119" s="281">
        <f>(AZ117+'R&amp;C-Painel de Controle'!$D$28)*(1+$C$118)</f>
        <v>28.331513322833175</v>
      </c>
      <c r="BA119" s="281">
        <f>(BA117+'R&amp;C-Painel de Controle'!$D$28)*(1+$C$118)</f>
        <v>28.331513322833175</v>
      </c>
      <c r="BB119" s="281">
        <f>(BB117+'R&amp;C-Painel de Controle'!$D$28)*(1+$C$118)</f>
        <v>28.331513322833175</v>
      </c>
      <c r="BC119" s="281">
        <f>(BC117+'R&amp;C-Painel de Controle'!$D$28)*(1+$C$118)</f>
        <v>28.331513322833175</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Sim</v>
      </c>
      <c r="D129" s="291">
        <f>D98</f>
        <v>55364.88461538461</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2.6157715799564443</v>
      </c>
      <c r="G131" s="300">
        <f>IF(G45&gt;0,'R&amp;C-Painel de Controle'!$O$59*(1-0.0925)*G35/1000000,0)</f>
        <v>2.6280657063822392</v>
      </c>
      <c r="H131" s="300">
        <f>IF(H45&gt;0,'R&amp;C-Painel de Controle'!$O$59*(1-0.0925)*H35/1000000,0)</f>
        <v>2.6404176152022356</v>
      </c>
      <c r="I131" s="300">
        <f>IF(I45&gt;0,'R&amp;C-Painel de Controle'!$O$59*(1-0.0925)*I35/1000000,0)</f>
        <v>2.6528275779936856</v>
      </c>
      <c r="J131" s="300">
        <f>IF(J45&gt;0,'R&amp;C-Painel de Controle'!$O$59*(1-0.0925)*J35/1000000,0)</f>
        <v>2.6652958676102561</v>
      </c>
      <c r="K131" s="300">
        <f>IF(K45&gt;0,'R&amp;C-Painel de Controle'!$O$59*(1-0.0925)*K35/1000000,0)</f>
        <v>2.6778227581880247</v>
      </c>
      <c r="L131" s="300">
        <f>IF(L45&gt;0,'R&amp;C-Painel de Controle'!$O$59*(1-0.0925)*L35/1000000,0)</f>
        <v>2.6904085251515077</v>
      </c>
      <c r="M131" s="300">
        <f>IF(M45&gt;0,'R&amp;C-Painel de Controle'!$O$59*(1-0.0925)*M35/1000000,0)</f>
        <v>2.7030534452197204</v>
      </c>
      <c r="N131" s="300">
        <f>IF(N45&gt;0,'R&amp;C-Painel de Controle'!$O$59*(1-0.0925)*N35/1000000,0)</f>
        <v>2.7157577964122526</v>
      </c>
      <c r="O131" s="300">
        <f>IF(O45&gt;0,'R&amp;C-Painel de Controle'!$O$59*(1-0.0925)*O35/1000000,0)</f>
        <v>2.72852185805539</v>
      </c>
      <c r="P131" s="300">
        <f>IF(P45&gt;0,'R&amp;C-Painel de Controle'!$O$59*(1-0.0925)*P35/1000000,0)</f>
        <v>2.7413459107882496</v>
      </c>
      <c r="Q131" s="300">
        <f>IF(Q45&gt;0,'R&amp;C-Painel de Controle'!$O$59*(1-0.0925)*Q35/1000000,0)</f>
        <v>2.7542302365689539</v>
      </c>
      <c r="R131" s="300">
        <f>IF(R45&gt;0,'R&amp;C-Painel de Controle'!$O$59*(1-0.0925)*R35/1000000,0)</f>
        <v>2.7671751186808282</v>
      </c>
      <c r="S131" s="300">
        <f>IF(S45&gt;0,'R&amp;C-Painel de Controle'!$O$59*(1-0.0925)*S35/1000000,0)</f>
        <v>2.7801808417386278</v>
      </c>
      <c r="T131" s="300">
        <f>IF(T45&gt;0,'R&amp;C-Painel de Controle'!$O$59*(1-0.0925)*T35/1000000,0)</f>
        <v>2.7932476916947988</v>
      </c>
      <c r="U131" s="300">
        <f>IF(U45&gt;0,'R&amp;C-Painel de Controle'!$O$59*(1-0.0925)*U35/1000000,0)</f>
        <v>2.8063759558457644</v>
      </c>
      <c r="V131" s="300">
        <f>IF(V45&gt;0,'R&amp;C-Painel de Controle'!$O$59*(1-0.0925)*V35/1000000,0)</f>
        <v>2.819565922838239</v>
      </c>
      <c r="W131" s="300">
        <f>IF(W45&gt;0,'R&amp;C-Painel de Controle'!$O$59*(1-0.0925)*W35/1000000,0)</f>
        <v>2.8328178826755783</v>
      </c>
      <c r="X131" s="300">
        <f>IF(X45&gt;0,'R&amp;C-Painel de Controle'!$O$59*(1-0.0925)*X35/1000000,0)</f>
        <v>2.8461321267241533</v>
      </c>
      <c r="Y131" s="300">
        <f>IF(Y45&gt;0,'R&amp;C-Painel de Controle'!$O$59*(1-0.0925)*Y35/1000000,0)</f>
        <v>2.8595089477197564</v>
      </c>
      <c r="Z131" s="300">
        <f>IF(Z45&gt;0,'R&amp;C-Painel de Controle'!$O$59*(1-0.0925)*Z35/1000000,0)</f>
        <v>2.8729486397740396</v>
      </c>
      <c r="AA131" s="300">
        <f>IF(AA45&gt;0,'R&amp;C-Painel de Controle'!$O$59*(1-0.0925)*AA35/1000000,0)</f>
        <v>2.886451498380977</v>
      </c>
      <c r="AB131" s="300">
        <f>IF(AB45&gt;0,'R&amp;C-Painel de Controle'!$O$59*(1-0.0925)*AB35/1000000,0)</f>
        <v>2.9000178204233675</v>
      </c>
      <c r="AC131" s="300">
        <f>IF(AC45&gt;0,'R&amp;C-Painel de Controle'!$O$59*(1-0.0925)*AC35/1000000,0)</f>
        <v>2.9136479041793568</v>
      </c>
      <c r="AD131" s="300">
        <f>IF(AD45&gt;0,'R&amp;C-Painel de Controle'!$O$59*(1-0.0925)*AD35/1000000,0)</f>
        <v>2.9273420493289994</v>
      </c>
      <c r="AE131" s="300">
        <f>IF(AE45&gt;0,'R&amp;C-Painel de Controle'!$O$59*(1-0.0925)*AE35/1000000,0)</f>
        <v>2.9411005569608455</v>
      </c>
      <c r="AF131" s="300">
        <f>IF(AF45&gt;0,'R&amp;C-Painel de Controle'!$O$59*(1-0.0925)*AF35/1000000,0)</f>
        <v>2.9549237295785615</v>
      </c>
      <c r="AG131" s="300">
        <f>IF(AG45&gt;0,'R&amp;C-Painel de Controle'!$O$59*(1-0.0925)*AG35/1000000,0)</f>
        <v>2.9688118711075808</v>
      </c>
      <c r="AH131" s="300">
        <f>IF(AH45&gt;0,'R&amp;C-Painel de Controle'!$O$59*(1-0.0925)*AH35/1000000,0)</f>
        <v>2.982765286901786</v>
      </c>
      <c r="AI131" s="300">
        <f>IF(AI45&gt;0,'R&amp;C-Painel de Controle'!$O$59*(1-0.0925)*AI35/1000000,0)</f>
        <v>2.9967842837502241</v>
      </c>
      <c r="AJ131" s="300">
        <f>IF(AJ45&gt;0,'R&amp;C-Painel de Controle'!$O$59*(1-0.0925)*AJ35/1000000,0)</f>
        <v>3.0108691698838497</v>
      </c>
      <c r="AK131" s="300">
        <f>IF(AK45&gt;0,'R&amp;C-Painel de Controle'!$O$59*(1-0.0925)*AK35/1000000,0)</f>
        <v>3.0250202549823038</v>
      </c>
      <c r="AL131" s="300">
        <f>IF(AL45&gt;0,'R&amp;C-Painel de Controle'!$O$59*(1-0.0925)*AL35/1000000,0)</f>
        <v>3.0392378501807205</v>
      </c>
      <c r="AM131" s="300">
        <f>IF(AM45&gt;0,'R&amp;C-Painel de Controle'!$O$59*(1-0.0925)*AM35/1000000,0)</f>
        <v>3.0535222680765699</v>
      </c>
      <c r="AN131" s="300">
        <f>IF(AN45&gt;0,'R&amp;C-Painel de Controle'!$O$59*(1-0.0925)*AN35/1000000,0)</f>
        <v>3.0678738227365296</v>
      </c>
      <c r="AO131" s="300">
        <f>IF(AO45&gt;0,'R&amp;C-Painel de Controle'!$O$59*(1-0.0925)*AO35/1000000,0)</f>
        <v>3.0822928297033911</v>
      </c>
      <c r="AP131" s="300">
        <f>IF(AP45&gt;0,'R&amp;C-Painel de Controle'!$O$59*(1-0.0925)*AP35/1000000,0)</f>
        <v>3.0967796060029968</v>
      </c>
      <c r="AQ131" s="300">
        <f>IF(AQ45&gt;0,'R&amp;C-Painel de Controle'!$O$59*(1-0.0925)*AQ35/1000000,0)</f>
        <v>3.1113344701512102</v>
      </c>
      <c r="AR131" s="300">
        <f>IF(AR45&gt;0,'R&amp;C-Painel de Controle'!$O$59*(1-0.0925)*AR35/1000000,0)</f>
        <v>3.1259577421609208</v>
      </c>
      <c r="AS131" s="300">
        <f>IF(AS45&gt;0,'R&amp;C-Painel de Controle'!$O$59*(1-0.0925)*AS35/1000000,0)</f>
        <v>3.1406497435490772</v>
      </c>
      <c r="AT131" s="300">
        <f>IF(AT45&gt;0,'R&amp;C-Painel de Controle'!$O$59*(1-0.0925)*AT35/1000000,0)</f>
        <v>3.155410797343758</v>
      </c>
      <c r="AU131" s="300">
        <f>IF(AU45&gt;0,'R&amp;C-Painel de Controle'!$O$59*(1-0.0925)*AU35/1000000,0)</f>
        <v>3.1702412280912733</v>
      </c>
      <c r="AV131" s="300">
        <f>IF(AV45&gt;0,'R&amp;C-Painel de Controle'!$O$59*(1-0.0925)*AV35/1000000,0)</f>
        <v>3.1851413618633022</v>
      </c>
      <c r="AW131" s="300">
        <f>IF(AW45&gt;0,'R&amp;C-Painel de Controle'!$O$59*(1-0.0925)*AW35/1000000,0)</f>
        <v>3.2001115262640591</v>
      </c>
      <c r="AX131" s="300">
        <f>IF(AX45&gt;0,'R&amp;C-Painel de Controle'!$O$59*(1-0.0925)*AX35/1000000,0)</f>
        <v>3.2151520504375006</v>
      </c>
      <c r="AY131" s="300">
        <f>IF(AY45&gt;0,'R&amp;C-Painel de Controle'!$O$59*(1-0.0925)*AY35/1000000,0)</f>
        <v>3.2302632650745569</v>
      </c>
      <c r="AZ131" s="300">
        <f>IF(AZ45&gt;0,'R&amp;C-Painel de Controle'!$O$59*(1-0.0925)*AZ35/1000000,0)</f>
        <v>3.2454455024204067</v>
      </c>
      <c r="BA131" s="300">
        <f>IF(BA45&gt;0,'R&amp;C-Painel de Controle'!$O$59*(1-0.0925)*BA35/1000000,0)</f>
        <v>3.2606990962817828</v>
      </c>
      <c r="BB131" s="300">
        <f>IF(BB45&gt;0,'R&amp;C-Painel de Controle'!$O$59*(1-0.0925)*BB35/1000000,0)</f>
        <v>3.2760243820343069</v>
      </c>
      <c r="BC131" s="300">
        <f>IF(BC45&gt;0,'R&amp;C-Painel de Controle'!$O$59*(1-0.0925)*BC35/1000000,0)</f>
        <v>3.2914216966298677</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Sim</v>
      </c>
      <c r="D138" s="291">
        <f>D107</f>
        <v>63991.846794871803</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77890.802403846174</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31.284805806743897</v>
      </c>
      <c r="D148" s="281">
        <f t="shared" si="51"/>
        <v>31.43184439403559</v>
      </c>
      <c r="E148" s="281">
        <f t="shared" si="51"/>
        <v>31.579574062687552</v>
      </c>
      <c r="F148" s="281">
        <f t="shared" si="51"/>
        <v>31.727998060782181</v>
      </c>
      <c r="G148" s="281">
        <f t="shared" si="51"/>
        <v>31.877119651667861</v>
      </c>
      <c r="H148" s="281">
        <f t="shared" si="51"/>
        <v>32.026942114030696</v>
      </c>
      <c r="I148" s="281">
        <f t="shared" si="51"/>
        <v>32.177468741966635</v>
      </c>
      <c r="J148" s="281">
        <f t="shared" si="51"/>
        <v>32.328702845053876</v>
      </c>
      <c r="K148" s="281">
        <f t="shared" si="51"/>
        <v>32.480647748425632</v>
      </c>
      <c r="L148" s="281">
        <f t="shared" si="51"/>
        <v>32.633306792843229</v>
      </c>
      <c r="M148" s="281">
        <f t="shared" si="51"/>
        <v>32.786683334769592</v>
      </c>
      <c r="N148" s="281">
        <f t="shared" si="51"/>
        <v>32.940780746443011</v>
      </c>
      <c r="O148" s="281">
        <f t="shared" si="51"/>
        <v>33.095602415951284</v>
      </c>
      <c r="P148" s="281">
        <f t="shared" si="51"/>
        <v>33.251151747306253</v>
      </c>
      <c r="Q148" s="281">
        <f t="shared" si="51"/>
        <v>33.407432160518589</v>
      </c>
      <c r="R148" s="281">
        <f t="shared" si="51"/>
        <v>33.564447091673031</v>
      </c>
      <c r="S148" s="281">
        <f t="shared" si="51"/>
        <v>33.72219999300389</v>
      </c>
      <c r="T148" s="281">
        <f t="shared" si="51"/>
        <v>33.880694332971004</v>
      </c>
      <c r="U148" s="281">
        <f t="shared" si="51"/>
        <v>34.039933596335963</v>
      </c>
      <c r="V148" s="281">
        <f t="shared" si="51"/>
        <v>34.199921284238734</v>
      </c>
      <c r="W148" s="281">
        <f t="shared" si="51"/>
        <v>34.360660914274654</v>
      </c>
      <c r="X148" s="281">
        <f t="shared" si="51"/>
        <v>34.522156020571742</v>
      </c>
      <c r="Y148" s="281">
        <f t="shared" si="51"/>
        <v>34.68441015386842</v>
      </c>
      <c r="Z148" s="281">
        <f t="shared" si="51"/>
        <v>34.847426881591609</v>
      </c>
      <c r="AA148" s="281">
        <f t="shared" si="51"/>
        <v>35.011209787935073</v>
      </c>
      <c r="AB148" s="281">
        <f t="shared" si="51"/>
        <v>35.17576247393837</v>
      </c>
      <c r="AC148" s="281">
        <f t="shared" si="51"/>
        <v>35.341088557565882</v>
      </c>
      <c r="AD148" s="281">
        <f t="shared" si="51"/>
        <v>35.50719167378643</v>
      </c>
      <c r="AE148" s="281">
        <f t="shared" si="51"/>
        <v>35.674075474653229</v>
      </c>
      <c r="AF148" s="281">
        <f t="shared" si="51"/>
        <v>35.841743629384098</v>
      </c>
      <c r="AG148" s="281">
        <f t="shared" si="51"/>
        <v>36.010199824442203</v>
      </c>
      <c r="AH148" s="281">
        <f t="shared" si="51"/>
        <v>36.179447763617084</v>
      </c>
      <c r="AI148" s="281">
        <f t="shared" ref="AI148:BC148" si="52">AI35*$H$26*(1-0.0925-$C$10)/1000000+AI149</f>
        <v>36.34949116810607</v>
      </c>
      <c r="AJ148" s="281">
        <f t="shared" si="52"/>
        <v>36.520333776596168</v>
      </c>
      <c r="AK148" s="281">
        <f t="shared" si="52"/>
        <v>36.691979345346176</v>
      </c>
      <c r="AL148" s="281">
        <f t="shared" si="52"/>
        <v>36.864431648269289</v>
      </c>
      <c r="AM148" s="281">
        <f t="shared" si="52"/>
        <v>37.037694477016153</v>
      </c>
      <c r="AN148" s="281">
        <f t="shared" si="52"/>
        <v>37.211771641058135</v>
      </c>
      <c r="AO148" s="281">
        <f t="shared" si="52"/>
        <v>37.386666967771106</v>
      </c>
      <c r="AP148" s="281">
        <f t="shared" si="52"/>
        <v>37.562384302519625</v>
      </c>
      <c r="AQ148" s="281">
        <f t="shared" si="52"/>
        <v>37.738927508741455</v>
      </c>
      <c r="AR148" s="281">
        <f t="shared" si="52"/>
        <v>37.916300468032546</v>
      </c>
      <c r="AS148" s="281">
        <f t="shared" si="52"/>
        <v>38.094507080232297</v>
      </c>
      <c r="AT148" s="281">
        <f t="shared" si="52"/>
        <v>38.27355126350939</v>
      </c>
      <c r="AU148" s="281">
        <f t="shared" si="52"/>
        <v>38.453436954447881</v>
      </c>
      <c r="AV148" s="281">
        <f t="shared" si="52"/>
        <v>38.634168108133778</v>
      </c>
      <c r="AW148" s="281">
        <f t="shared" si="52"/>
        <v>38.815748698242011</v>
      </c>
      <c r="AX148" s="281">
        <f t="shared" si="52"/>
        <v>38.998182717123747</v>
      </c>
      <c r="AY148" s="281">
        <f t="shared" si="52"/>
        <v>39.181474175894216</v>
      </c>
      <c r="AZ148" s="281">
        <f t="shared" si="52"/>
        <v>39.365627104520925</v>
      </c>
      <c r="BA148" s="281">
        <f t="shared" si="52"/>
        <v>39.550645551912176</v>
      </c>
      <c r="BB148" s="281">
        <f t="shared" si="52"/>
        <v>39.736533586006168</v>
      </c>
      <c r="BC148" s="281">
        <f t="shared" si="52"/>
        <v>39.923295293860384</v>
      </c>
    </row>
    <row r="149" spans="2:58" s="192" customFormat="1" ht="16.899999999999999" customHeight="1" x14ac:dyDescent="0.25">
      <c r="B149" s="192" t="s">
        <v>897</v>
      </c>
      <c r="C149" s="281">
        <f>'R&amp;C-Painel de Controle'!D31*312*'R&amp;C-Painel de Controle'!H31*(1-0.0925-$C$10)/1000000</f>
        <v>1.5453658322747372</v>
      </c>
      <c r="D149" s="281">
        <f>C149*(1+'R&amp;C-Painel de Controle'!$D$27)</f>
        <v>1.5526290516864283</v>
      </c>
      <c r="E149" s="281">
        <f>D149*(1+'R&amp;C-Painel de Controle'!$D$27)</f>
        <v>1.5599264082293545</v>
      </c>
      <c r="F149" s="281">
        <f>E149*(1+'R&amp;C-Painel de Controle'!$D$27)</f>
        <v>1.5672580623480323</v>
      </c>
      <c r="G149" s="281">
        <f>F149*(1+'R&amp;C-Painel de Controle'!$D$27)</f>
        <v>1.5746241752410679</v>
      </c>
      <c r="H149" s="281">
        <f>G149*(1+'R&amp;C-Painel de Controle'!$D$27)</f>
        <v>1.5820249088647007</v>
      </c>
      <c r="I149" s="281">
        <f>H149*(1+'R&amp;C-Painel de Controle'!$D$27)</f>
        <v>1.5894604259363647</v>
      </c>
      <c r="J149" s="281">
        <f>I149*(1+'R&amp;C-Painel de Controle'!$D$27)</f>
        <v>1.5969308899382655</v>
      </c>
      <c r="K149" s="281">
        <f>J149*(1+'R&amp;C-Painel de Controle'!$D$27)</f>
        <v>1.6044364651209753</v>
      </c>
      <c r="L149" s="281">
        <f>K149*(1+'R&amp;C-Painel de Controle'!$D$27)</f>
        <v>1.6119773165070437</v>
      </c>
      <c r="M149" s="281">
        <f>L149*(1+'R&amp;C-Painel de Controle'!$D$27)</f>
        <v>1.6195536098946266</v>
      </c>
      <c r="N149" s="281">
        <f>M149*(1+'R&amp;C-Painel de Controle'!$D$27)</f>
        <v>1.6271655118611312</v>
      </c>
      <c r="O149" s="281">
        <f>N149*(1+'R&amp;C-Painel de Controle'!$D$27)</f>
        <v>1.6348131897668785</v>
      </c>
      <c r="P149" s="281">
        <f>O149*(1+'R&amp;C-Painel de Controle'!$D$27)</f>
        <v>1.6424968117587828</v>
      </c>
      <c r="Q149" s="281">
        <f>P149*(1+'R&amp;C-Painel de Controle'!$D$27)</f>
        <v>1.6502165467740491</v>
      </c>
      <c r="R149" s="281">
        <f>Q149*(1+'R&amp;C-Painel de Controle'!$D$27)</f>
        <v>1.657972564543887</v>
      </c>
      <c r="S149" s="281">
        <f>R149*(1+'R&amp;C-Painel de Controle'!$D$27)</f>
        <v>1.6657650355972431</v>
      </c>
      <c r="T149" s="281">
        <f>S149*(1+'R&amp;C-Painel de Controle'!$D$27)</f>
        <v>1.6735941312645499</v>
      </c>
      <c r="U149" s="281">
        <f>T149*(1+'R&amp;C-Painel de Controle'!$D$27)</f>
        <v>1.6814600236814932</v>
      </c>
      <c r="V149" s="281">
        <f>U149*(1+'R&amp;C-Painel de Controle'!$D$27)</f>
        <v>1.689362885792796</v>
      </c>
      <c r="W149" s="281">
        <f>V149*(1+'R&amp;C-Painel de Controle'!$D$27)</f>
        <v>1.697302891356022</v>
      </c>
      <c r="X149" s="281">
        <f>W149*(1+'R&amp;C-Painel de Controle'!$D$27)</f>
        <v>1.7052802149453952</v>
      </c>
      <c r="Y149" s="281">
        <f>X149*(1+'R&amp;C-Painel de Controle'!$D$27)</f>
        <v>1.7132950319556384</v>
      </c>
      <c r="Z149" s="281">
        <f>Y149*(1+'R&amp;C-Painel de Controle'!$D$27)</f>
        <v>1.7213475186058298</v>
      </c>
      <c r="AA149" s="281">
        <f>Z149*(1+'R&amp;C-Painel de Controle'!$D$27)</f>
        <v>1.7294378519432771</v>
      </c>
      <c r="AB149" s="281">
        <f>AA149*(1+'R&amp;C-Painel de Controle'!$D$27)</f>
        <v>1.7375662098474105</v>
      </c>
      <c r="AC149" s="281">
        <f>AB149*(1+'R&amp;C-Painel de Controle'!$D$27)</f>
        <v>1.7457327710336932</v>
      </c>
      <c r="AD149" s="281">
        <f>AC149*(1+'R&amp;C-Painel de Controle'!$D$27)</f>
        <v>1.7539377150575515</v>
      </c>
      <c r="AE149" s="281">
        <f>AD149*(1+'R&amp;C-Painel de Controle'!$D$27)</f>
        <v>1.7621812223183217</v>
      </c>
      <c r="AF149" s="281">
        <f>AE149*(1+'R&amp;C-Painel de Controle'!$D$27)</f>
        <v>1.7704634740632177</v>
      </c>
      <c r="AG149" s="281">
        <f>AF149*(1+'R&amp;C-Painel de Controle'!$D$27)</f>
        <v>1.7787846523913147</v>
      </c>
      <c r="AH149" s="281">
        <f>AG149*(1+'R&amp;C-Painel de Controle'!$D$27)</f>
        <v>1.7871449402575537</v>
      </c>
      <c r="AI149" s="281">
        <f>AH149*(1+'R&amp;C-Painel de Controle'!$D$27)</f>
        <v>1.795544521476764</v>
      </c>
      <c r="AJ149" s="281">
        <f>AI149*(1+'R&amp;C-Painel de Controle'!$D$27)</f>
        <v>1.8039835807277047</v>
      </c>
      <c r="AK149" s="281">
        <f>AJ149*(1+'R&amp;C-Painel de Controle'!$D$27)</f>
        <v>1.8124623035571248</v>
      </c>
      <c r="AL149" s="281">
        <f>AK149*(1+'R&amp;C-Painel de Controle'!$D$27)</f>
        <v>1.8209808763838431</v>
      </c>
      <c r="AM149" s="281">
        <f>AL149*(1+'R&amp;C-Painel de Controle'!$D$27)</f>
        <v>1.8295394865028469</v>
      </c>
      <c r="AN149" s="281">
        <f>AM149*(1+'R&amp;C-Painel de Controle'!$D$27)</f>
        <v>1.8381383220894101</v>
      </c>
      <c r="AO149" s="281">
        <f>AN149*(1+'R&amp;C-Painel de Controle'!$D$27)</f>
        <v>1.8467775722032302</v>
      </c>
      <c r="AP149" s="281">
        <f>AO149*(1+'R&amp;C-Painel de Controle'!$D$27)</f>
        <v>1.8554574267925852</v>
      </c>
      <c r="AQ149" s="281">
        <f>AP149*(1+'R&amp;C-Painel de Controle'!$D$27)</f>
        <v>1.8641780766985101</v>
      </c>
      <c r="AR149" s="281">
        <f>AQ149*(1+'R&amp;C-Painel de Controle'!$D$27)</f>
        <v>1.8729397136589929</v>
      </c>
      <c r="AS149" s="281">
        <f>AR149*(1+'R&amp;C-Painel de Controle'!$D$27)</f>
        <v>1.8817425303131901</v>
      </c>
      <c r="AT149" s="281">
        <f>AS149*(1+'R&amp;C-Painel de Controle'!$D$27)</f>
        <v>1.8905867202056619</v>
      </c>
      <c r="AU149" s="281">
        <f>AT149*(1+'R&amp;C-Painel de Controle'!$D$27)</f>
        <v>1.8994724777906284</v>
      </c>
      <c r="AV149" s="281">
        <f>AU149*(1+'R&amp;C-Painel de Controle'!$D$27)</f>
        <v>1.9083999984362443</v>
      </c>
      <c r="AW149" s="281">
        <f>AV149*(1+'R&amp;C-Painel de Controle'!$D$27)</f>
        <v>1.9173694784288946</v>
      </c>
      <c r="AX149" s="281">
        <f>AW149*(1+'R&amp;C-Painel de Controle'!$D$27)</f>
        <v>1.9263811149775103</v>
      </c>
      <c r="AY149" s="281">
        <f>AX149*(1+'R&amp;C-Painel de Controle'!$D$27)</f>
        <v>1.9354351062179045</v>
      </c>
      <c r="AZ149" s="281">
        <f>AY149*(1+'R&amp;C-Painel de Controle'!$D$27)</f>
        <v>1.9445316512171285</v>
      </c>
      <c r="BA149" s="281">
        <f>AZ149*(1+'R&amp;C-Painel de Controle'!$D$27)</f>
        <v>1.9536709499778488</v>
      </c>
      <c r="BB149" s="281">
        <f>BA149*(1+'R&amp;C-Painel de Controle'!$D$27)</f>
        <v>1.9628532034427446</v>
      </c>
      <c r="BC149" s="281">
        <f>BB149*(1+'R&amp;C-Painel de Controle'!$D$27)</f>
        <v>1.9720786134989254</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27.338708306743897</v>
      </c>
      <c r="D151" s="282">
        <f t="shared" si="53"/>
        <v>27.485746894035589</v>
      </c>
      <c r="E151" s="282">
        <f t="shared" si="53"/>
        <v>27.633476562687552</v>
      </c>
      <c r="F151" s="282">
        <f t="shared" si="53"/>
        <v>3.396484737949006</v>
      </c>
      <c r="G151" s="282">
        <f t="shared" si="53"/>
        <v>3.5456063288346868</v>
      </c>
      <c r="H151" s="282">
        <f t="shared" si="53"/>
        <v>3.6954287911975214</v>
      </c>
      <c r="I151" s="282">
        <f t="shared" si="53"/>
        <v>3.8459554191334604</v>
      </c>
      <c r="J151" s="282">
        <f t="shared" si="53"/>
        <v>3.997189522220701</v>
      </c>
      <c r="K151" s="282">
        <f t="shared" si="53"/>
        <v>4.1491344255924574</v>
      </c>
      <c r="L151" s="282">
        <f t="shared" si="53"/>
        <v>4.301793470010054</v>
      </c>
      <c r="M151" s="282">
        <f t="shared" si="53"/>
        <v>4.455170011936417</v>
      </c>
      <c r="N151" s="282">
        <f t="shared" si="53"/>
        <v>4.6092674236098361</v>
      </c>
      <c r="O151" s="282">
        <f t="shared" si="53"/>
        <v>4.764089093118109</v>
      </c>
      <c r="P151" s="282">
        <f t="shared" si="53"/>
        <v>4.919638424473078</v>
      </c>
      <c r="Q151" s="282">
        <f t="shared" si="53"/>
        <v>5.0759188376854141</v>
      </c>
      <c r="R151" s="282">
        <f t="shared" si="53"/>
        <v>5.2329337688398567</v>
      </c>
      <c r="S151" s="282">
        <f t="shared" si="53"/>
        <v>5.3906866701707159</v>
      </c>
      <c r="T151" s="282">
        <f t="shared" si="53"/>
        <v>5.5491810101378292</v>
      </c>
      <c r="U151" s="282">
        <f t="shared" si="53"/>
        <v>5.7084202735027887</v>
      </c>
      <c r="V151" s="282">
        <f t="shared" si="53"/>
        <v>5.8684079614055591</v>
      </c>
      <c r="W151" s="282">
        <f t="shared" si="53"/>
        <v>6.0291475914414789</v>
      </c>
      <c r="X151" s="282">
        <f t="shared" si="53"/>
        <v>6.1906426977385678</v>
      </c>
      <c r="Y151" s="282">
        <f t="shared" si="53"/>
        <v>6.3528968310352454</v>
      </c>
      <c r="Z151" s="282">
        <f t="shared" si="53"/>
        <v>6.5159135587584345</v>
      </c>
      <c r="AA151" s="282">
        <f t="shared" si="53"/>
        <v>6.6796964651018982</v>
      </c>
      <c r="AB151" s="282">
        <f t="shared" si="53"/>
        <v>6.8442491511051955</v>
      </c>
      <c r="AC151" s="282">
        <f t="shared" si="53"/>
        <v>7.0095752347327078</v>
      </c>
      <c r="AD151" s="282">
        <f t="shared" si="53"/>
        <v>7.1756783509532553</v>
      </c>
      <c r="AE151" s="282">
        <f t="shared" si="53"/>
        <v>7.3425621518200543</v>
      </c>
      <c r="AF151" s="282">
        <f t="shared" si="53"/>
        <v>7.5102303065509233</v>
      </c>
      <c r="AG151" s="282">
        <f t="shared" si="53"/>
        <v>7.6786865016090289</v>
      </c>
      <c r="AH151" s="282">
        <f t="shared" si="53"/>
        <v>7.8479344407839093</v>
      </c>
      <c r="AI151" s="282">
        <f t="shared" si="53"/>
        <v>8.0179778452728954</v>
      </c>
      <c r="AJ151" s="282">
        <f t="shared" si="53"/>
        <v>8.1888204537629932</v>
      </c>
      <c r="AK151" s="282">
        <f t="shared" si="53"/>
        <v>8.3604660225130019</v>
      </c>
      <c r="AL151" s="282">
        <f t="shared" si="53"/>
        <v>8.5329183254361141</v>
      </c>
      <c r="AM151" s="282">
        <f t="shared" si="53"/>
        <v>8.7061811541829783</v>
      </c>
      <c r="AN151" s="282">
        <f t="shared" si="53"/>
        <v>8.8802583182249606</v>
      </c>
      <c r="AO151" s="282">
        <f t="shared" si="53"/>
        <v>9.0551536449379313</v>
      </c>
      <c r="AP151" s="282">
        <f t="shared" si="53"/>
        <v>9.2308709796864505</v>
      </c>
      <c r="AQ151" s="282">
        <f t="shared" si="53"/>
        <v>9.40741418590828</v>
      </c>
      <c r="AR151" s="282">
        <f t="shared" si="53"/>
        <v>9.5847871451993711</v>
      </c>
      <c r="AS151" s="282">
        <f t="shared" si="53"/>
        <v>9.7629937573991228</v>
      </c>
      <c r="AT151" s="282">
        <f t="shared" si="53"/>
        <v>9.9420379406762152</v>
      </c>
      <c r="AU151" s="282">
        <f t="shared" si="53"/>
        <v>10.121923631614706</v>
      </c>
      <c r="AV151" s="282">
        <f t="shared" si="53"/>
        <v>10.302654785300604</v>
      </c>
      <c r="AW151" s="282">
        <f t="shared" si="53"/>
        <v>10.484235375408836</v>
      </c>
      <c r="AX151" s="282">
        <f t="shared" si="53"/>
        <v>10.666669394290572</v>
      </c>
      <c r="AY151" s="282">
        <f t="shared" si="53"/>
        <v>10.849960853061042</v>
      </c>
      <c r="AZ151" s="282">
        <f t="shared" si="53"/>
        <v>11.034113781687751</v>
      </c>
      <c r="BA151" s="282">
        <f t="shared" si="53"/>
        <v>11.219132229079001</v>
      </c>
      <c r="BB151" s="282">
        <f t="shared" si="53"/>
        <v>11.405020263172993</v>
      </c>
      <c r="BC151" s="282">
        <f t="shared" si="53"/>
        <v>11.59178197102721</v>
      </c>
    </row>
    <row r="152" spans="2:58" s="192" customFormat="1" ht="16.899999999999999" customHeight="1" outlineLevel="1" x14ac:dyDescent="0.25">
      <c r="B152" s="192" t="s">
        <v>364</v>
      </c>
      <c r="C152" s="282">
        <f>C63</f>
        <v>57.387502756210623</v>
      </c>
      <c r="D152" s="282">
        <f>IF(SUM($C$152:C152)&lt;'R&amp;C-Painel de Controle'!$H$24,D63,0)</f>
        <v>68.677705059710732</v>
      </c>
      <c r="E152" s="282">
        <f>IF(SUM($C$152:D152)&lt;'R&amp;C-Painel de Controle'!$H$24,E63,0)</f>
        <v>79.317581237723729</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-30.048794449466726</v>
      </c>
      <c r="D153" s="282">
        <f t="shared" si="54"/>
        <v>-41.191958165675146</v>
      </c>
      <c r="E153" s="282">
        <f t="shared" si="54"/>
        <v>-51.684104675036181</v>
      </c>
      <c r="F153" s="282">
        <f t="shared" si="54"/>
        <v>3.396484737949006</v>
      </c>
      <c r="G153" s="282">
        <f t="shared" si="54"/>
        <v>3.5456063288346868</v>
      </c>
      <c r="H153" s="282">
        <f t="shared" si="54"/>
        <v>3.6954287911975214</v>
      </c>
      <c r="I153" s="282">
        <f t="shared" si="54"/>
        <v>3.8459554191334604</v>
      </c>
      <c r="J153" s="282">
        <f t="shared" si="54"/>
        <v>3.997189522220701</v>
      </c>
      <c r="K153" s="282">
        <f t="shared" si="54"/>
        <v>4.1491344255924574</v>
      </c>
      <c r="L153" s="282">
        <f t="shared" si="54"/>
        <v>4.301793470010054</v>
      </c>
      <c r="M153" s="282">
        <f t="shared" si="54"/>
        <v>4.455170011936417</v>
      </c>
      <c r="N153" s="282">
        <f t="shared" si="54"/>
        <v>4.6092674236098361</v>
      </c>
      <c r="O153" s="282">
        <f t="shared" si="54"/>
        <v>4.764089093118109</v>
      </c>
      <c r="P153" s="282">
        <f t="shared" si="54"/>
        <v>4.919638424473078</v>
      </c>
      <c r="Q153" s="282">
        <f t="shared" si="54"/>
        <v>5.0759188376854141</v>
      </c>
      <c r="R153" s="282">
        <f t="shared" si="54"/>
        <v>5.2329337688398567</v>
      </c>
      <c r="S153" s="282">
        <f t="shared" si="54"/>
        <v>5.3906866701707159</v>
      </c>
      <c r="T153" s="282">
        <f t="shared" si="54"/>
        <v>5.5491810101378292</v>
      </c>
      <c r="U153" s="282">
        <f t="shared" si="54"/>
        <v>5.7084202735027887</v>
      </c>
      <c r="V153" s="282">
        <f t="shared" si="54"/>
        <v>5.8684079614055591</v>
      </c>
      <c r="W153" s="282">
        <f t="shared" si="54"/>
        <v>6.0291475914414789</v>
      </c>
      <c r="X153" s="282">
        <f t="shared" si="54"/>
        <v>6.1906426977385678</v>
      </c>
      <c r="Y153" s="282">
        <f t="shared" si="54"/>
        <v>6.3528968310352454</v>
      </c>
      <c r="Z153" s="282">
        <f t="shared" si="54"/>
        <v>6.5159135587584345</v>
      </c>
      <c r="AA153" s="282">
        <f t="shared" si="54"/>
        <v>6.6796964651018982</v>
      </c>
      <c r="AB153" s="282">
        <f t="shared" si="54"/>
        <v>6.8442491511051955</v>
      </c>
      <c r="AC153" s="282">
        <f t="shared" si="54"/>
        <v>7.0095752347327078</v>
      </c>
      <c r="AD153" s="282">
        <f t="shared" si="54"/>
        <v>7.1756783509532553</v>
      </c>
      <c r="AE153" s="282">
        <f t="shared" si="54"/>
        <v>7.3425621518200543</v>
      </c>
      <c r="AF153" s="282">
        <f t="shared" si="54"/>
        <v>7.5102303065509233</v>
      </c>
      <c r="AG153" s="282">
        <f t="shared" si="54"/>
        <v>7.6786865016090289</v>
      </c>
      <c r="AH153" s="282">
        <f t="shared" si="54"/>
        <v>7.8479344407839093</v>
      </c>
      <c r="AI153" s="282">
        <f t="shared" si="54"/>
        <v>8.0179778452728954</v>
      </c>
      <c r="AJ153" s="282">
        <f t="shared" si="54"/>
        <v>8.1888204537629932</v>
      </c>
      <c r="AK153" s="282">
        <f t="shared" si="54"/>
        <v>8.3604660225130019</v>
      </c>
      <c r="AL153" s="282">
        <f t="shared" si="54"/>
        <v>8.5329183254361141</v>
      </c>
      <c r="AM153" s="282">
        <f t="shared" si="54"/>
        <v>8.7061811541829783</v>
      </c>
      <c r="AN153" s="282">
        <f t="shared" si="54"/>
        <v>8.8802583182249606</v>
      </c>
      <c r="AO153" s="282">
        <f t="shared" si="54"/>
        <v>9.0551536449379313</v>
      </c>
      <c r="AP153" s="282">
        <f t="shared" si="54"/>
        <v>9.2308709796864505</v>
      </c>
      <c r="AQ153" s="282">
        <f t="shared" si="54"/>
        <v>9.40741418590828</v>
      </c>
      <c r="AR153" s="282">
        <f t="shared" si="54"/>
        <v>9.5847871451993711</v>
      </c>
      <c r="AS153" s="282">
        <f t="shared" si="54"/>
        <v>9.7629937573991228</v>
      </c>
      <c r="AT153" s="282">
        <f t="shared" si="54"/>
        <v>9.9420379406762152</v>
      </c>
      <c r="AU153" s="282">
        <f t="shared" si="54"/>
        <v>10.121923631614706</v>
      </c>
      <c r="AV153" s="282">
        <f t="shared" si="54"/>
        <v>10.302654785300604</v>
      </c>
      <c r="AW153" s="282">
        <f t="shared" si="54"/>
        <v>10.484235375408836</v>
      </c>
      <c r="AX153" s="282">
        <f t="shared" si="54"/>
        <v>10.666669394290572</v>
      </c>
      <c r="AY153" s="282">
        <f t="shared" si="54"/>
        <v>10.849960853061042</v>
      </c>
      <c r="AZ153" s="282">
        <f t="shared" si="54"/>
        <v>11.034113781687751</v>
      </c>
      <c r="BA153" s="282">
        <f t="shared" si="54"/>
        <v>11.219132229079001</v>
      </c>
      <c r="BB153" s="282">
        <f t="shared" si="54"/>
        <v>11.405020263172993</v>
      </c>
      <c r="BC153" s="282">
        <f t="shared" si="54"/>
        <v>11.59178197102721</v>
      </c>
    </row>
    <row r="154" spans="2:58" s="192" customFormat="1" ht="16.899999999999999" customHeight="1" outlineLevel="1" x14ac:dyDescent="0.25">
      <c r="B154" s="276" t="s">
        <v>366</v>
      </c>
      <c r="C154" s="282">
        <f>IF((C153&gt;0),C153*(1-($C$26+$C$25)),C153)</f>
        <v>-30.048794449466726</v>
      </c>
      <c r="D154" s="282">
        <f t="shared" ref="D154:BC154" si="55">IF((D153&gt;0),D153*(1-($C$26+$C$25)),D153)</f>
        <v>-41.191958165675146</v>
      </c>
      <c r="E154" s="282">
        <f t="shared" si="55"/>
        <v>-51.684104675036181</v>
      </c>
      <c r="F154" s="282">
        <f t="shared" si="55"/>
        <v>2.2416799270463441</v>
      </c>
      <c r="G154" s="282">
        <f t="shared" si="55"/>
        <v>2.3401001770308936</v>
      </c>
      <c r="H154" s="282">
        <f t="shared" si="55"/>
        <v>2.4389830021903642</v>
      </c>
      <c r="I154" s="282">
        <f t="shared" si="55"/>
        <v>2.5383305766280841</v>
      </c>
      <c r="J154" s="282">
        <f t="shared" si="55"/>
        <v>2.6381450846656627</v>
      </c>
      <c r="K154" s="282">
        <f t="shared" si="55"/>
        <v>2.7384287208910219</v>
      </c>
      <c r="L154" s="282">
        <f t="shared" si="55"/>
        <v>2.8391836902066356</v>
      </c>
      <c r="M154" s="282">
        <f t="shared" si="55"/>
        <v>2.9404122078780355</v>
      </c>
      <c r="N154" s="282">
        <f t="shared" si="55"/>
        <v>3.0421164995824919</v>
      </c>
      <c r="O154" s="282">
        <f t="shared" si="55"/>
        <v>3.144298801457952</v>
      </c>
      <c r="P154" s="282">
        <f t="shared" si="55"/>
        <v>3.2469613601522318</v>
      </c>
      <c r="Q154" s="282">
        <f t="shared" si="55"/>
        <v>3.3501064328723733</v>
      </c>
      <c r="R154" s="282">
        <f t="shared" si="55"/>
        <v>3.4537362874343054</v>
      </c>
      <c r="S154" s="282">
        <f t="shared" si="55"/>
        <v>3.5578532023126725</v>
      </c>
      <c r="T154" s="282">
        <f t="shared" si="55"/>
        <v>3.6624594666909673</v>
      </c>
      <c r="U154" s="282">
        <f t="shared" si="55"/>
        <v>3.7675573805118407</v>
      </c>
      <c r="V154" s="282">
        <f t="shared" si="55"/>
        <v>3.8731492545276693</v>
      </c>
      <c r="W154" s="282">
        <f t="shared" si="55"/>
        <v>3.9792374103513763</v>
      </c>
      <c r="X154" s="282">
        <f t="shared" si="55"/>
        <v>4.0858241805074549</v>
      </c>
      <c r="Y154" s="282">
        <f t="shared" si="55"/>
        <v>4.1929119084832625</v>
      </c>
      <c r="Z154" s="282">
        <f t="shared" si="55"/>
        <v>4.3005029487805668</v>
      </c>
      <c r="AA154" s="282">
        <f t="shared" si="55"/>
        <v>4.4085996669672527</v>
      </c>
      <c r="AB154" s="282">
        <f t="shared" si="55"/>
        <v>4.5172044397294293</v>
      </c>
      <c r="AC154" s="282">
        <f t="shared" si="55"/>
        <v>4.626319654923587</v>
      </c>
      <c r="AD154" s="282">
        <f t="shared" si="55"/>
        <v>4.7359477116291488</v>
      </c>
      <c r="AE154" s="282">
        <f t="shared" si="55"/>
        <v>4.8460910202012357</v>
      </c>
      <c r="AF154" s="282">
        <f t="shared" si="55"/>
        <v>4.9567520023236096</v>
      </c>
      <c r="AG154" s="282">
        <f t="shared" si="55"/>
        <v>5.0679330910619589</v>
      </c>
      <c r="AH154" s="282">
        <f t="shared" si="55"/>
        <v>5.1796367309173803</v>
      </c>
      <c r="AI154" s="282">
        <f t="shared" si="55"/>
        <v>5.2918653778801108</v>
      </c>
      <c r="AJ154" s="282">
        <f t="shared" si="55"/>
        <v>5.404621499483576</v>
      </c>
      <c r="AK154" s="282">
        <f t="shared" si="55"/>
        <v>5.5179075748585813</v>
      </c>
      <c r="AL154" s="282">
        <f t="shared" si="55"/>
        <v>5.6317260947878358</v>
      </c>
      <c r="AM154" s="282">
        <f t="shared" si="55"/>
        <v>5.7460795617607658</v>
      </c>
      <c r="AN154" s="282">
        <f t="shared" si="55"/>
        <v>5.8609704900284747</v>
      </c>
      <c r="AO154" s="282">
        <f t="shared" si="55"/>
        <v>5.9764014056590353</v>
      </c>
      <c r="AP154" s="282">
        <f t="shared" si="55"/>
        <v>6.0923748465930574</v>
      </c>
      <c r="AQ154" s="282">
        <f t="shared" si="55"/>
        <v>6.2088933626994649</v>
      </c>
      <c r="AR154" s="282">
        <f t="shared" si="55"/>
        <v>6.3259595158315856</v>
      </c>
      <c r="AS154" s="282">
        <f t="shared" si="55"/>
        <v>6.4435758798834213</v>
      </c>
      <c r="AT154" s="282">
        <f t="shared" si="55"/>
        <v>6.5617450408463025</v>
      </c>
      <c r="AU154" s="282">
        <f t="shared" si="55"/>
        <v>6.6804695968657066</v>
      </c>
      <c r="AV154" s="282">
        <f t="shared" si="55"/>
        <v>6.7997521582983991</v>
      </c>
      <c r="AW154" s="282">
        <f t="shared" si="55"/>
        <v>6.9195953477698326</v>
      </c>
      <c r="AX154" s="282">
        <f t="shared" si="55"/>
        <v>7.0400018002317779</v>
      </c>
      <c r="AY154" s="282">
        <f t="shared" si="55"/>
        <v>7.1609741630202874</v>
      </c>
      <c r="AZ154" s="282">
        <f t="shared" si="55"/>
        <v>7.282515095913916</v>
      </c>
      <c r="BA154" s="282">
        <f t="shared" si="55"/>
        <v>7.4046272711921413</v>
      </c>
      <c r="BB154" s="282">
        <f t="shared" si="55"/>
        <v>7.5273133736941755</v>
      </c>
      <c r="BC154" s="282">
        <f t="shared" si="55"/>
        <v>7.6505761008779585</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-30.048794449466726</v>
      </c>
      <c r="D156" s="282">
        <f t="shared" ref="D156:BC156" si="56">D154</f>
        <v>-41.191958165675146</v>
      </c>
      <c r="E156" s="282">
        <f t="shared" si="56"/>
        <v>-51.684104675036181</v>
      </c>
      <c r="F156" s="282">
        <f t="shared" si="56"/>
        <v>2.2416799270463441</v>
      </c>
      <c r="G156" s="282">
        <f t="shared" si="56"/>
        <v>2.3401001770308936</v>
      </c>
      <c r="H156" s="282">
        <f t="shared" si="56"/>
        <v>2.4389830021903642</v>
      </c>
      <c r="I156" s="282">
        <f t="shared" si="56"/>
        <v>2.5383305766280841</v>
      </c>
      <c r="J156" s="282">
        <f t="shared" si="56"/>
        <v>2.6381450846656627</v>
      </c>
      <c r="K156" s="282">
        <f t="shared" si="56"/>
        <v>2.7384287208910219</v>
      </c>
      <c r="L156" s="282">
        <f t="shared" si="56"/>
        <v>2.8391836902066356</v>
      </c>
      <c r="M156" s="282">
        <f t="shared" si="56"/>
        <v>2.9404122078780355</v>
      </c>
      <c r="N156" s="282">
        <f t="shared" si="56"/>
        <v>3.0421164995824919</v>
      </c>
      <c r="O156" s="282">
        <f t="shared" si="56"/>
        <v>3.144298801457952</v>
      </c>
      <c r="P156" s="282">
        <f t="shared" si="56"/>
        <v>3.2469613601522318</v>
      </c>
      <c r="Q156" s="282">
        <f t="shared" si="56"/>
        <v>3.3501064328723733</v>
      </c>
      <c r="R156" s="282">
        <f t="shared" si="56"/>
        <v>3.4537362874343054</v>
      </c>
      <c r="S156" s="282">
        <f t="shared" si="56"/>
        <v>3.5578532023126725</v>
      </c>
      <c r="T156" s="282">
        <f t="shared" si="56"/>
        <v>3.6624594666909673</v>
      </c>
      <c r="U156" s="282">
        <f t="shared" si="56"/>
        <v>3.7675573805118407</v>
      </c>
      <c r="V156" s="282">
        <f t="shared" si="56"/>
        <v>3.8731492545276693</v>
      </c>
      <c r="W156" s="282">
        <f t="shared" si="56"/>
        <v>3.9792374103513763</v>
      </c>
      <c r="X156" s="282">
        <f t="shared" si="56"/>
        <v>4.0858241805074549</v>
      </c>
      <c r="Y156" s="282">
        <f t="shared" si="56"/>
        <v>4.1929119084832625</v>
      </c>
      <c r="Z156" s="282">
        <f t="shared" si="56"/>
        <v>4.3005029487805668</v>
      </c>
      <c r="AA156" s="282">
        <f t="shared" si="56"/>
        <v>4.4085996669672527</v>
      </c>
      <c r="AB156" s="282">
        <f t="shared" si="56"/>
        <v>4.5172044397294293</v>
      </c>
      <c r="AC156" s="282">
        <f t="shared" si="56"/>
        <v>4.626319654923587</v>
      </c>
      <c r="AD156" s="282">
        <f t="shared" si="56"/>
        <v>4.7359477116291488</v>
      </c>
      <c r="AE156" s="282">
        <f t="shared" si="56"/>
        <v>4.8460910202012357</v>
      </c>
      <c r="AF156" s="282">
        <f t="shared" si="56"/>
        <v>4.9567520023236096</v>
      </c>
      <c r="AG156" s="282">
        <f t="shared" si="56"/>
        <v>5.0679330910619589</v>
      </c>
      <c r="AH156" s="282">
        <f t="shared" si="56"/>
        <v>5.1796367309173803</v>
      </c>
      <c r="AI156" s="282">
        <f t="shared" si="56"/>
        <v>5.2918653778801108</v>
      </c>
      <c r="AJ156" s="282">
        <f t="shared" si="56"/>
        <v>5.404621499483576</v>
      </c>
      <c r="AK156" s="282">
        <f t="shared" si="56"/>
        <v>5.5179075748585813</v>
      </c>
      <c r="AL156" s="282">
        <f t="shared" si="56"/>
        <v>5.6317260947878358</v>
      </c>
      <c r="AM156" s="282">
        <f t="shared" si="56"/>
        <v>5.7460795617607658</v>
      </c>
      <c r="AN156" s="282">
        <f t="shared" si="56"/>
        <v>5.8609704900284747</v>
      </c>
      <c r="AO156" s="282">
        <f t="shared" si="56"/>
        <v>5.9764014056590353</v>
      </c>
      <c r="AP156" s="282">
        <f t="shared" si="56"/>
        <v>6.0923748465930574</v>
      </c>
      <c r="AQ156" s="282">
        <f t="shared" si="56"/>
        <v>6.2088933626994649</v>
      </c>
      <c r="AR156" s="282">
        <f t="shared" si="56"/>
        <v>6.3259595158315856</v>
      </c>
      <c r="AS156" s="282">
        <f t="shared" si="56"/>
        <v>6.4435758798834213</v>
      </c>
      <c r="AT156" s="282">
        <f t="shared" si="56"/>
        <v>6.5617450408463025</v>
      </c>
      <c r="AU156" s="282">
        <f t="shared" si="56"/>
        <v>6.6804695968657066</v>
      </c>
      <c r="AV156" s="282">
        <f t="shared" si="56"/>
        <v>6.7997521582983991</v>
      </c>
      <c r="AW156" s="282">
        <f t="shared" si="56"/>
        <v>6.9195953477698326</v>
      </c>
      <c r="AX156" s="282">
        <f t="shared" si="56"/>
        <v>7.0400018002317779</v>
      </c>
      <c r="AY156" s="282">
        <f t="shared" si="56"/>
        <v>7.1609741630202874</v>
      </c>
      <c r="AZ156" s="282">
        <f t="shared" si="56"/>
        <v>7.282515095913916</v>
      </c>
      <c r="BA156" s="282">
        <f t="shared" si="56"/>
        <v>7.4046272711921413</v>
      </c>
      <c r="BB156" s="282">
        <f t="shared" si="56"/>
        <v>7.5273133736941755</v>
      </c>
      <c r="BC156" s="282">
        <f t="shared" si="56"/>
        <v>7.6505761008779585</v>
      </c>
    </row>
    <row r="157" spans="2:58" s="192" customFormat="1" ht="16.899999999999999" customHeight="1" outlineLevel="1" x14ac:dyDescent="0.25">
      <c r="B157" s="192" t="s">
        <v>416</v>
      </c>
      <c r="C157" s="282">
        <f>C156</f>
        <v>-30.048794449466726</v>
      </c>
      <c r="D157" s="282">
        <f t="shared" ref="D157:BC157" si="57">C157+D156</f>
        <v>-71.240752615141872</v>
      </c>
      <c r="E157" s="282">
        <f t="shared" si="57"/>
        <v>-122.92485729017805</v>
      </c>
      <c r="F157" s="282">
        <f t="shared" si="57"/>
        <v>-120.6831773631317</v>
      </c>
      <c r="G157" s="282">
        <f t="shared" si="57"/>
        <v>-118.34307718610081</v>
      </c>
      <c r="H157" s="282">
        <f t="shared" si="57"/>
        <v>-115.90409418391044</v>
      </c>
      <c r="I157" s="282">
        <f t="shared" si="57"/>
        <v>-113.36576360728236</v>
      </c>
      <c r="J157" s="282">
        <f t="shared" si="57"/>
        <v>-110.72761852261669</v>
      </c>
      <c r="K157" s="282">
        <f t="shared" si="57"/>
        <v>-107.98918980172567</v>
      </c>
      <c r="L157" s="282">
        <f t="shared" si="57"/>
        <v>-105.15000611151903</v>
      </c>
      <c r="M157" s="282">
        <f t="shared" si="57"/>
        <v>-102.20959390364099</v>
      </c>
      <c r="N157" s="282">
        <f t="shared" si="57"/>
        <v>-99.167477404058502</v>
      </c>
      <c r="O157" s="282">
        <f t="shared" si="57"/>
        <v>-96.023178602600552</v>
      </c>
      <c r="P157" s="282">
        <f t="shared" si="57"/>
        <v>-92.776217242448325</v>
      </c>
      <c r="Q157" s="282">
        <f t="shared" si="57"/>
        <v>-89.426110809575945</v>
      </c>
      <c r="R157" s="282">
        <f t="shared" si="57"/>
        <v>-85.972374522141635</v>
      </c>
      <c r="S157" s="282">
        <f t="shared" si="57"/>
        <v>-82.414521319828964</v>
      </c>
      <c r="T157" s="282">
        <f t="shared" si="57"/>
        <v>-78.752061853138002</v>
      </c>
      <c r="U157" s="282">
        <f t="shared" si="57"/>
        <v>-74.984504472626156</v>
      </c>
      <c r="V157" s="282">
        <f t="shared" si="57"/>
        <v>-71.111355218098481</v>
      </c>
      <c r="W157" s="282">
        <f t="shared" si="57"/>
        <v>-67.132117807747107</v>
      </c>
      <c r="X157" s="282">
        <f t="shared" si="57"/>
        <v>-63.046293627239649</v>
      </c>
      <c r="Y157" s="282">
        <f t="shared" si="57"/>
        <v>-58.853381718756388</v>
      </c>
      <c r="Z157" s="282">
        <f t="shared" si="57"/>
        <v>-54.55287876997582</v>
      </c>
      <c r="AA157" s="282">
        <f t="shared" si="57"/>
        <v>-50.144279103008564</v>
      </c>
      <c r="AB157" s="282">
        <f t="shared" si="57"/>
        <v>-45.627074663279132</v>
      </c>
      <c r="AC157" s="282">
        <f t="shared" si="57"/>
        <v>-41.000755008355547</v>
      </c>
      <c r="AD157" s="282">
        <f t="shared" si="57"/>
        <v>-36.264807296726396</v>
      </c>
      <c r="AE157" s="282">
        <f t="shared" si="57"/>
        <v>-31.41871627652516</v>
      </c>
      <c r="AF157" s="282">
        <f t="shared" si="57"/>
        <v>-26.461964274201549</v>
      </c>
      <c r="AG157" s="282">
        <f t="shared" si="57"/>
        <v>-21.394031183139589</v>
      </c>
      <c r="AH157" s="282">
        <f t="shared" si="57"/>
        <v>-16.214394452222209</v>
      </c>
      <c r="AI157" s="282">
        <f t="shared" si="57"/>
        <v>-10.922529074342098</v>
      </c>
      <c r="AJ157" s="282">
        <f t="shared" si="57"/>
        <v>-5.5179075748585218</v>
      </c>
      <c r="AK157" s="282">
        <f t="shared" si="57"/>
        <v>5.9507954119908391E-14</v>
      </c>
      <c r="AL157" s="282">
        <f t="shared" si="57"/>
        <v>5.6317260947878953</v>
      </c>
      <c r="AM157" s="282">
        <f t="shared" si="57"/>
        <v>11.377805656548661</v>
      </c>
      <c r="AN157" s="282">
        <f t="shared" si="57"/>
        <v>17.238776146577138</v>
      </c>
      <c r="AO157" s="282">
        <f t="shared" si="57"/>
        <v>23.215177552236174</v>
      </c>
      <c r="AP157" s="282">
        <f t="shared" si="57"/>
        <v>29.30755239882923</v>
      </c>
      <c r="AQ157" s="282">
        <f t="shared" si="57"/>
        <v>35.516445761528693</v>
      </c>
      <c r="AR157" s="282">
        <f t="shared" si="57"/>
        <v>41.842405277360278</v>
      </c>
      <c r="AS157" s="282">
        <f t="shared" si="57"/>
        <v>48.285981157243697</v>
      </c>
      <c r="AT157" s="282">
        <f t="shared" si="57"/>
        <v>54.847726198090001</v>
      </c>
      <c r="AU157" s="282">
        <f t="shared" si="57"/>
        <v>61.528195794955707</v>
      </c>
      <c r="AV157" s="282">
        <f t="shared" si="57"/>
        <v>68.32794795325411</v>
      </c>
      <c r="AW157" s="282">
        <f t="shared" si="57"/>
        <v>75.247543301023939</v>
      </c>
      <c r="AX157" s="282">
        <f t="shared" si="57"/>
        <v>82.287545101255716</v>
      </c>
      <c r="AY157" s="282">
        <f t="shared" si="57"/>
        <v>89.448519264276001</v>
      </c>
      <c r="AZ157" s="282">
        <f t="shared" si="57"/>
        <v>96.731034360189923</v>
      </c>
      <c r="BA157" s="282">
        <f t="shared" si="57"/>
        <v>104.13566163138206</v>
      </c>
      <c r="BB157" s="282">
        <f t="shared" si="57"/>
        <v>111.66297500507623</v>
      </c>
      <c r="BC157" s="282">
        <f t="shared" si="57"/>
        <v>119.31355110595419</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-27.381806496689201</v>
      </c>
      <c r="D159" s="285">
        <f t="shared" ref="D159:BC159" si="58">NPV($C$28,D156)</f>
        <v>-37.535956046724209</v>
      </c>
      <c r="E159" s="285">
        <f t="shared" si="58"/>
        <v>-47.09686957812665</v>
      </c>
      <c r="F159" s="285">
        <f t="shared" si="58"/>
        <v>2.0427190878862258</v>
      </c>
      <c r="G159" s="285">
        <f t="shared" si="58"/>
        <v>2.1324040249962581</v>
      </c>
      <c r="H159" s="285">
        <f t="shared" si="58"/>
        <v>2.2225104813107022</v>
      </c>
      <c r="I159" s="285">
        <f t="shared" si="58"/>
        <v>2.3130404379698235</v>
      </c>
      <c r="J159" s="285">
        <f t="shared" si="58"/>
        <v>2.4039958854252439</v>
      </c>
      <c r="K159" s="285">
        <f t="shared" si="58"/>
        <v>2.4953788234837089</v>
      </c>
      <c r="L159" s="285">
        <f t="shared" si="58"/>
        <v>2.5871912613510442</v>
      </c>
      <c r="M159" s="285">
        <f t="shared" si="58"/>
        <v>2.6794352176763585</v>
      </c>
      <c r="N159" s="285">
        <f t="shared" si="58"/>
        <v>2.7721127205964025</v>
      </c>
      <c r="O159" s="285">
        <f t="shared" si="58"/>
        <v>2.8652258077801642</v>
      </c>
      <c r="P159" s="285">
        <f t="shared" si="58"/>
        <v>2.9587765264736943</v>
      </c>
      <c r="Q159" s="285">
        <f t="shared" si="58"/>
        <v>3.0527669335450827</v>
      </c>
      <c r="R159" s="285">
        <f t="shared" si="58"/>
        <v>3.1471990955297118</v>
      </c>
      <c r="S159" s="285">
        <f t="shared" si="58"/>
        <v>3.2420750886756631</v>
      </c>
      <c r="T159" s="285">
        <f t="shared" si="58"/>
        <v>3.3373969989894001</v>
      </c>
      <c r="U159" s="285">
        <f t="shared" si="58"/>
        <v>3.4331669222816119</v>
      </c>
      <c r="V159" s="285">
        <f t="shared" si="58"/>
        <v>3.5293869642132947</v>
      </c>
      <c r="W159" s="285">
        <f t="shared" si="58"/>
        <v>3.6260592403420602</v>
      </c>
      <c r="X159" s="285">
        <f t="shared" si="58"/>
        <v>3.7231858761686305</v>
      </c>
      <c r="Y159" s="285">
        <f t="shared" si="58"/>
        <v>3.820769007183582</v>
      </c>
      <c r="Z159" s="285">
        <f t="shared" si="58"/>
        <v>3.9188107789143132</v>
      </c>
      <c r="AA159" s="285">
        <f t="shared" si="58"/>
        <v>4.0173133469721645</v>
      </c>
      <c r="AB159" s="285">
        <f t="shared" si="58"/>
        <v>4.1162788770998997</v>
      </c>
      <c r="AC159" s="285">
        <f t="shared" si="58"/>
        <v>4.2157095452192337</v>
      </c>
      <c r="AD159" s="285">
        <f t="shared" si="58"/>
        <v>4.3156075374787219</v>
      </c>
      <c r="AE159" s="285">
        <f t="shared" si="58"/>
        <v>4.4159750503018369</v>
      </c>
      <c r="AF159" s="285">
        <f t="shared" si="58"/>
        <v>4.5168142904352191</v>
      </c>
      <c r="AG159" s="285">
        <f t="shared" si="58"/>
        <v>4.6181274749972294</v>
      </c>
      <c r="AH159" s="285">
        <f t="shared" si="58"/>
        <v>4.7199168315266817</v>
      </c>
      <c r="AI159" s="285">
        <f t="shared" si="58"/>
        <v>4.8221845980318125</v>
      </c>
      <c r="AJ159" s="285">
        <f t="shared" si="58"/>
        <v>4.9249330230395261</v>
      </c>
      <c r="AK159" s="285">
        <f t="shared" si="58"/>
        <v>5.0281643656447796</v>
      </c>
      <c r="AL159" s="285">
        <f t="shared" si="58"/>
        <v>5.1318808955602666</v>
      </c>
      <c r="AM159" s="285">
        <f t="shared" si="58"/>
        <v>5.2360848931663622</v>
      </c>
      <c r="AN159" s="285">
        <f t="shared" si="58"/>
        <v>5.3407786495612131</v>
      </c>
      <c r="AO159" s="285">
        <f t="shared" si="58"/>
        <v>5.4459644666111133</v>
      </c>
      <c r="AP159" s="285">
        <f t="shared" si="58"/>
        <v>5.5516446570011464</v>
      </c>
      <c r="AQ159" s="285">
        <f t="shared" si="58"/>
        <v>5.6578215442860085</v>
      </c>
      <c r="AR159" s="285">
        <f t="shared" si="58"/>
        <v>5.7644974629411205</v>
      </c>
      <c r="AS159" s="285">
        <f t="shared" si="58"/>
        <v>5.8716747584139073</v>
      </c>
      <c r="AT159" s="285">
        <f t="shared" si="58"/>
        <v>5.9793557871754173</v>
      </c>
      <c r="AU159" s="285">
        <f t="shared" si="58"/>
        <v>6.0875429167721045</v>
      </c>
      <c r="AV159" s="285">
        <f t="shared" si="58"/>
        <v>6.1962385258778925</v>
      </c>
      <c r="AW159" s="285">
        <f t="shared" si="58"/>
        <v>6.3054450043464856</v>
      </c>
      <c r="AX159" s="285">
        <f t="shared" si="58"/>
        <v>6.4151647532638769</v>
      </c>
      <c r="AY159" s="285">
        <f t="shared" si="58"/>
        <v>6.5254001850011738</v>
      </c>
      <c r="AZ159" s="285">
        <f t="shared" si="58"/>
        <v>6.6361537232676477</v>
      </c>
      <c r="BA159" s="285">
        <f t="shared" si="58"/>
        <v>6.7474278031639709</v>
      </c>
      <c r="BB159" s="285">
        <f t="shared" si="58"/>
        <v>6.8592248712358082</v>
      </c>
      <c r="BC159" s="285">
        <f t="shared" si="58"/>
        <v>6.9715473855275736</v>
      </c>
    </row>
    <row r="160" spans="2:58" s="192" customFormat="1" ht="16.899999999999999" customHeight="1" outlineLevel="1" x14ac:dyDescent="0.25">
      <c r="B160" s="286" t="s">
        <v>418</v>
      </c>
      <c r="C160" s="285">
        <f>C159</f>
        <v>-27.381806496689201</v>
      </c>
      <c r="D160" s="285">
        <f t="shared" ref="D160:BC160" si="59">C160+D159</f>
        <v>-64.917762543413403</v>
      </c>
      <c r="E160" s="285">
        <f t="shared" si="59"/>
        <v>-112.01463212154005</v>
      </c>
      <c r="F160" s="285">
        <f t="shared" si="59"/>
        <v>-109.97191303365382</v>
      </c>
      <c r="G160" s="285">
        <f t="shared" si="59"/>
        <v>-107.83950900865756</v>
      </c>
      <c r="H160" s="285">
        <f t="shared" si="59"/>
        <v>-105.61699852734685</v>
      </c>
      <c r="I160" s="285">
        <f t="shared" si="59"/>
        <v>-103.30395808937703</v>
      </c>
      <c r="J160" s="285">
        <f t="shared" si="59"/>
        <v>-100.89996220395179</v>
      </c>
      <c r="K160" s="285">
        <f t="shared" si="59"/>
        <v>-98.404583380468083</v>
      </c>
      <c r="L160" s="285">
        <f t="shared" si="59"/>
        <v>-95.817392119117045</v>
      </c>
      <c r="M160" s="285">
        <f t="shared" si="59"/>
        <v>-93.137956901440688</v>
      </c>
      <c r="N160" s="285">
        <f t="shared" si="59"/>
        <v>-90.365844180844292</v>
      </c>
      <c r="O160" s="285">
        <f t="shared" si="59"/>
        <v>-87.500618373064128</v>
      </c>
      <c r="P160" s="285">
        <f t="shared" si="59"/>
        <v>-84.54184184659043</v>
      </c>
      <c r="Q160" s="285">
        <f t="shared" si="59"/>
        <v>-81.489074913045343</v>
      </c>
      <c r="R160" s="285">
        <f t="shared" si="59"/>
        <v>-78.341875817515628</v>
      </c>
      <c r="S160" s="285">
        <f t="shared" si="59"/>
        <v>-75.099800728839966</v>
      </c>
      <c r="T160" s="285">
        <f t="shared" si="59"/>
        <v>-71.762403729850561</v>
      </c>
      <c r="U160" s="285">
        <f t="shared" si="59"/>
        <v>-68.329236807568947</v>
      </c>
      <c r="V160" s="285">
        <f t="shared" si="59"/>
        <v>-64.799849843355645</v>
      </c>
      <c r="W160" s="285">
        <f t="shared" si="59"/>
        <v>-61.173790603013586</v>
      </c>
      <c r="X160" s="285">
        <f t="shared" si="59"/>
        <v>-57.450604726844958</v>
      </c>
      <c r="Y160" s="285">
        <f t="shared" si="59"/>
        <v>-53.629835719661372</v>
      </c>
      <c r="Z160" s="285">
        <f t="shared" si="59"/>
        <v>-49.711024940747059</v>
      </c>
      <c r="AA160" s="285">
        <f t="shared" si="59"/>
        <v>-45.693711593774893</v>
      </c>
      <c r="AB160" s="285">
        <f t="shared" si="59"/>
        <v>-41.577432716674991</v>
      </c>
      <c r="AC160" s="285">
        <f t="shared" si="59"/>
        <v>-37.361723171455758</v>
      </c>
      <c r="AD160" s="285">
        <f t="shared" si="59"/>
        <v>-33.046115633977038</v>
      </c>
      <c r="AE160" s="285">
        <f t="shared" si="59"/>
        <v>-28.6301405836752</v>
      </c>
      <c r="AF160" s="285">
        <f t="shared" si="59"/>
        <v>-24.113326293239979</v>
      </c>
      <c r="AG160" s="285">
        <f t="shared" si="59"/>
        <v>-19.495198818242748</v>
      </c>
      <c r="AH160" s="285">
        <f t="shared" si="59"/>
        <v>-14.775281986716067</v>
      </c>
      <c r="AI160" s="285">
        <f t="shared" si="59"/>
        <v>-9.9530973886842542</v>
      </c>
      <c r="AJ160" s="285">
        <f t="shared" si="59"/>
        <v>-5.0281643656447281</v>
      </c>
      <c r="AK160" s="285">
        <f t="shared" si="59"/>
        <v>5.1514348342607263E-14</v>
      </c>
      <c r="AL160" s="285">
        <f t="shared" si="59"/>
        <v>5.1318808955603181</v>
      </c>
      <c r="AM160" s="285">
        <f t="shared" si="59"/>
        <v>10.36796578872668</v>
      </c>
      <c r="AN160" s="285">
        <f t="shared" si="59"/>
        <v>15.708744438287894</v>
      </c>
      <c r="AO160" s="285">
        <f t="shared" si="59"/>
        <v>21.154708904899007</v>
      </c>
      <c r="AP160" s="285">
        <f t="shared" si="59"/>
        <v>26.706353561900151</v>
      </c>
      <c r="AQ160" s="285">
        <f t="shared" si="59"/>
        <v>32.36417510618616</v>
      </c>
      <c r="AR160" s="285">
        <f t="shared" si="59"/>
        <v>38.128672569127282</v>
      </c>
      <c r="AS160" s="285">
        <f t="shared" si="59"/>
        <v>44.000347327541192</v>
      </c>
      <c r="AT160" s="285">
        <f t="shared" si="59"/>
        <v>49.979703114716607</v>
      </c>
      <c r="AU160" s="285">
        <f t="shared" si="59"/>
        <v>56.067246031488708</v>
      </c>
      <c r="AV160" s="285">
        <f t="shared" si="59"/>
        <v>62.263484557366603</v>
      </c>
      <c r="AW160" s="285">
        <f t="shared" si="59"/>
        <v>68.568929561713091</v>
      </c>
      <c r="AX160" s="285">
        <f t="shared" si="59"/>
        <v>74.984094314976971</v>
      </c>
      <c r="AY160" s="285">
        <f t="shared" si="59"/>
        <v>81.509494499978146</v>
      </c>
      <c r="AZ160" s="285">
        <f t="shared" si="59"/>
        <v>88.1456482232458</v>
      </c>
      <c r="BA160" s="285">
        <f t="shared" si="59"/>
        <v>94.893076026409773</v>
      </c>
      <c r="BB160" s="285">
        <f t="shared" si="59"/>
        <v>101.75230089764558</v>
      </c>
      <c r="BC160" s="285">
        <f t="shared" si="59"/>
        <v>108.72384828317315</v>
      </c>
    </row>
    <row r="161" spans="1:58" s="192" customFormat="1" ht="16.899999999999999" customHeight="1" outlineLevel="1" x14ac:dyDescent="0.25">
      <c r="B161" s="192" t="s">
        <v>367</v>
      </c>
      <c r="C161" s="282">
        <f t="shared" ref="C161:AH161" si="60">C156/(1+$C$28)^C32</f>
        <v>-30.048794449466726</v>
      </c>
      <c r="D161" s="282">
        <f t="shared" si="60"/>
        <v>-37.535956046724209</v>
      </c>
      <c r="E161" s="282">
        <f t="shared" si="60"/>
        <v>-42.916775631608033</v>
      </c>
      <c r="F161" s="282">
        <f t="shared" si="60"/>
        <v>1.696206547920718</v>
      </c>
      <c r="G161" s="282">
        <f t="shared" si="60"/>
        <v>1.6135210144728083</v>
      </c>
      <c r="H161" s="282">
        <f t="shared" si="60"/>
        <v>1.5324418166708043</v>
      </c>
      <c r="I161" s="282">
        <f t="shared" si="60"/>
        <v>1.4533106166021781</v>
      </c>
      <c r="J161" s="282">
        <f t="shared" si="60"/>
        <v>1.3763978477529739</v>
      </c>
      <c r="K161" s="282">
        <f t="shared" si="60"/>
        <v>1.3019124922034391</v>
      </c>
      <c r="L161" s="282">
        <f t="shared" si="60"/>
        <v>1.230010698170201</v>
      </c>
      <c r="M161" s="282">
        <f t="shared" si="60"/>
        <v>1.1608033654758207</v>
      </c>
      <c r="N161" s="282">
        <f t="shared" si="60"/>
        <v>1.094362813120286</v>
      </c>
      <c r="O161" s="282">
        <f t="shared" si="60"/>
        <v>1.0307286310887442</v>
      </c>
      <c r="P161" s="282">
        <f t="shared" si="60"/>
        <v>0.96991280771905464</v>
      </c>
      <c r="Q161" s="282">
        <f t="shared" si="60"/>
        <v>0.91190421424903534</v>
      </c>
      <c r="R161" s="282">
        <f t="shared" si="60"/>
        <v>0.85667251945593059</v>
      </c>
      <c r="S161" s="282">
        <f t="shared" si="60"/>
        <v>0.80417159948953398</v>
      </c>
      <c r="T161" s="282">
        <f t="shared" si="60"/>
        <v>0.75434250099591782</v>
      </c>
      <c r="U161" s="282">
        <f t="shared" si="60"/>
        <v>0.70711600934937824</v>
      </c>
      <c r="V161" s="282">
        <f t="shared" si="60"/>
        <v>0.66241486818315454</v>
      </c>
      <c r="W161" s="282">
        <f t="shared" si="60"/>
        <v>0.62015569136862858</v>
      </c>
      <c r="X161" s="282">
        <f t="shared" si="60"/>
        <v>0.58025060407878093</v>
      </c>
      <c r="Y161" s="282">
        <f t="shared" si="60"/>
        <v>0.5426086455311957</v>
      </c>
      <c r="Z161" s="282">
        <f t="shared" si="60"/>
        <v>0.50713696239064066</v>
      </c>
      <c r="AA161" s="282">
        <f t="shared" si="60"/>
        <v>0.47374181857788006</v>
      </c>
      <c r="AB161" s="282">
        <f t="shared" si="60"/>
        <v>0.44232944434088151</v>
      </c>
      <c r="AC161" s="282">
        <f t="shared" si="60"/>
        <v>0.41280674486166663</v>
      </c>
      <c r="AD161" s="282">
        <f t="shared" si="60"/>
        <v>0.38508188636534879</v>
      </c>
      <c r="AE161" s="282">
        <f t="shared" si="60"/>
        <v>0.35906477563866035</v>
      </c>
      <c r="AF161" s="282">
        <f t="shared" si="60"/>
        <v>0.33466744702811424</v>
      </c>
      <c r="AG161" s="282">
        <f t="shared" si="60"/>
        <v>0.3118043693497683</v>
      </c>
      <c r="AH161" s="282">
        <f t="shared" si="60"/>
        <v>0.29039268368263882</v>
      </c>
      <c r="AI161" s="282">
        <f t="shared" ref="AI161:BC161" si="61">AI156/(1+$C$28)^AI32</f>
        <v>0.27035238171761311</v>
      </c>
      <c r="AJ161" s="282">
        <f t="shared" si="61"/>
        <v>0.25160643317646869</v>
      </c>
      <c r="AK161" s="282">
        <f t="shared" si="61"/>
        <v>0.23408086978630963</v>
      </c>
      <c r="AL161" s="282">
        <f t="shared" si="61"/>
        <v>0.21770483237992261</v>
      </c>
      <c r="AM161" s="282">
        <f t="shared" si="61"/>
        <v>0.2024105868800731</v>
      </c>
      <c r="AN161" s="282">
        <f t="shared" si="61"/>
        <v>0.18813351420476856</v>
      </c>
      <c r="AO161" s="282">
        <f t="shared" si="61"/>
        <v>0.17481207849126523</v>
      </c>
      <c r="AP161" s="282">
        <f t="shared" si="61"/>
        <v>0.16238777747029162</v>
      </c>
      <c r="AQ161" s="282">
        <f t="shared" si="61"/>
        <v>0.15080507832080003</v>
      </c>
      <c r="AR161" s="282">
        <f t="shared" si="61"/>
        <v>0.1400113418924839</v>
      </c>
      <c r="AS161" s="282">
        <f t="shared" si="61"/>
        <v>0.1299567377920039</v>
      </c>
      <c r="AT161" s="282">
        <f t="shared" si="61"/>
        <v>0.12059415248371619</v>
      </c>
      <c r="AU161" s="282">
        <f t="shared" si="61"/>
        <v>0.11187909225160902</v>
      </c>
      <c r="AV161" s="282">
        <f t="shared" si="61"/>
        <v>0.10376958260163491</v>
      </c>
      <c r="AW161" s="282">
        <f t="shared" si="61"/>
        <v>9.6226065448587944E-2</v>
      </c>
      <c r="AX161" s="282">
        <f t="shared" si="61"/>
        <v>8.921129522552218E-2</v>
      </c>
      <c r="AY161" s="282">
        <f t="shared" si="61"/>
        <v>8.2690234873185831E-2</v>
      </c>
      <c r="AZ161" s="282">
        <f t="shared" si="61"/>
        <v>7.6629952509160285E-2</v>
      </c>
      <c r="BA161" s="282">
        <f t="shared" si="61"/>
        <v>7.0999519438765438E-2</v>
      </c>
      <c r="BB161" s="282">
        <f t="shared" si="61"/>
        <v>6.5769910050011635E-2</v>
      </c>
      <c r="BC161" s="282">
        <f t="shared" si="61"/>
        <v>6.0913904030876771E-2</v>
      </c>
    </row>
    <row r="162" spans="1:58" s="192" customFormat="1" ht="16.899999999999999" customHeight="1" outlineLevel="1" x14ac:dyDescent="0.25">
      <c r="B162" s="275" t="s">
        <v>368</v>
      </c>
      <c r="C162" s="282">
        <f>C161</f>
        <v>-30.048794449466726</v>
      </c>
      <c r="D162" s="282">
        <f t="shared" ref="D162:BC162" si="62">C162+D161</f>
        <v>-67.584750496190935</v>
      </c>
      <c r="E162" s="282">
        <f t="shared" si="62"/>
        <v>-110.50152612779897</v>
      </c>
      <c r="F162" s="282">
        <f t="shared" si="62"/>
        <v>-108.80531957987824</v>
      </c>
      <c r="G162" s="282">
        <f t="shared" si="62"/>
        <v>-107.19179856540543</v>
      </c>
      <c r="H162" s="282">
        <f t="shared" si="62"/>
        <v>-105.65935674873464</v>
      </c>
      <c r="I162" s="282">
        <f t="shared" si="62"/>
        <v>-104.20604613213246</v>
      </c>
      <c r="J162" s="282">
        <f t="shared" si="62"/>
        <v>-102.82964828437949</v>
      </c>
      <c r="K162" s="282">
        <f t="shared" si="62"/>
        <v>-101.52773579217605</v>
      </c>
      <c r="L162" s="282">
        <f t="shared" si="62"/>
        <v>-100.29772509400584</v>
      </c>
      <c r="M162" s="282">
        <f t="shared" si="62"/>
        <v>-99.136921728530027</v>
      </c>
      <c r="N162" s="282">
        <f t="shared" si="62"/>
        <v>-98.042558915409742</v>
      </c>
      <c r="O162" s="282">
        <f t="shared" si="62"/>
        <v>-97.011830284320993</v>
      </c>
      <c r="P162" s="282">
        <f t="shared" si="62"/>
        <v>-96.041917476601938</v>
      </c>
      <c r="Q162" s="282">
        <f t="shared" si="62"/>
        <v>-95.130013262352904</v>
      </c>
      <c r="R162" s="282">
        <f t="shared" si="62"/>
        <v>-94.273340742896977</v>
      </c>
      <c r="S162" s="282">
        <f t="shared" si="62"/>
        <v>-93.469169143407441</v>
      </c>
      <c r="T162" s="282">
        <f t="shared" si="62"/>
        <v>-92.714826642411523</v>
      </c>
      <c r="U162" s="282">
        <f t="shared" si="62"/>
        <v>-92.007710633062146</v>
      </c>
      <c r="V162" s="282">
        <f t="shared" si="62"/>
        <v>-91.345295764878998</v>
      </c>
      <c r="W162" s="282">
        <f t="shared" si="62"/>
        <v>-90.725140073510374</v>
      </c>
      <c r="X162" s="282">
        <f t="shared" si="62"/>
        <v>-90.14488946943159</v>
      </c>
      <c r="Y162" s="282">
        <f t="shared" si="62"/>
        <v>-89.602280823900401</v>
      </c>
      <c r="Z162" s="282">
        <f t="shared" si="62"/>
        <v>-89.095143861509754</v>
      </c>
      <c r="AA162" s="282">
        <f t="shared" si="62"/>
        <v>-88.621402042931877</v>
      </c>
      <c r="AB162" s="282">
        <f t="shared" si="62"/>
        <v>-88.179072598590992</v>
      </c>
      <c r="AC162" s="282">
        <f t="shared" si="62"/>
        <v>-87.766265853729323</v>
      </c>
      <c r="AD162" s="282">
        <f t="shared" si="62"/>
        <v>-87.381183967363967</v>
      </c>
      <c r="AE162" s="282">
        <f t="shared" si="62"/>
        <v>-87.022119191725309</v>
      </c>
      <c r="AF162" s="282">
        <f t="shared" si="62"/>
        <v>-86.687451744697199</v>
      </c>
      <c r="AG162" s="282">
        <f t="shared" si="62"/>
        <v>-86.375647375347427</v>
      </c>
      <c r="AH162" s="282">
        <f t="shared" si="62"/>
        <v>-86.085254691664787</v>
      </c>
      <c r="AI162" s="282">
        <f t="shared" si="62"/>
        <v>-85.814902309947172</v>
      </c>
      <c r="AJ162" s="282">
        <f t="shared" si="62"/>
        <v>-85.563295876770709</v>
      </c>
      <c r="AK162" s="282">
        <f t="shared" si="62"/>
        <v>-85.329215006984398</v>
      </c>
      <c r="AL162" s="282">
        <f t="shared" si="62"/>
        <v>-85.111510174604476</v>
      </c>
      <c r="AM162" s="282">
        <f t="shared" si="62"/>
        <v>-84.909099587724398</v>
      </c>
      <c r="AN162" s="282">
        <f t="shared" si="62"/>
        <v>-84.720966073519634</v>
      </c>
      <c r="AO162" s="282">
        <f t="shared" si="62"/>
        <v>-84.546153995028362</v>
      </c>
      <c r="AP162" s="282">
        <f t="shared" si="62"/>
        <v>-84.383766217558076</v>
      </c>
      <c r="AQ162" s="282">
        <f t="shared" si="62"/>
        <v>-84.232961139237275</v>
      </c>
      <c r="AR162" s="282">
        <f t="shared" si="62"/>
        <v>-84.092949797344787</v>
      </c>
      <c r="AS162" s="282">
        <f t="shared" si="62"/>
        <v>-83.962993059552787</v>
      </c>
      <c r="AT162" s="282">
        <f t="shared" si="62"/>
        <v>-83.842398907069068</v>
      </c>
      <c r="AU162" s="282">
        <f t="shared" si="62"/>
        <v>-83.730519814817455</v>
      </c>
      <c r="AV162" s="282">
        <f t="shared" si="62"/>
        <v>-83.626750232215826</v>
      </c>
      <c r="AW162" s="282">
        <f t="shared" si="62"/>
        <v>-83.530524166767236</v>
      </c>
      <c r="AX162" s="282">
        <f t="shared" si="62"/>
        <v>-83.441312871541712</v>
      </c>
      <c r="AY162" s="282">
        <f t="shared" si="62"/>
        <v>-83.358622636668528</v>
      </c>
      <c r="AZ162" s="282">
        <f t="shared" si="62"/>
        <v>-83.281992684159363</v>
      </c>
      <c r="BA162" s="282">
        <f t="shared" si="62"/>
        <v>-83.210993164720591</v>
      </c>
      <c r="BB162" s="282">
        <f t="shared" si="62"/>
        <v>-83.145223254670583</v>
      </c>
      <c r="BC162" s="282">
        <f t="shared" si="62"/>
        <v>-83.0843093506397</v>
      </c>
    </row>
    <row r="163" spans="1:58" s="192" customFormat="1" ht="16.899999999999999" customHeight="1" outlineLevel="1" x14ac:dyDescent="0.25">
      <c r="B163" s="275" t="s">
        <v>369</v>
      </c>
      <c r="C163" s="282">
        <f t="shared" ref="C163:AH163" si="63">C63/(1+$C$28)^C32</f>
        <v>57.387502756210623</v>
      </c>
      <c r="D163" s="282">
        <f t="shared" si="63"/>
        <v>62.5821988880178</v>
      </c>
      <c r="E163" s="282">
        <f t="shared" si="63"/>
        <v>65.862703030733101</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0.99999999999998923</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-1.3322676295501878E-15</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40.171251929347434</v>
      </c>
      <c r="D167" s="282">
        <f t="shared" ref="D167:BC167" si="66">D63*(1-$D$14)</f>
        <v>48.074393541797512</v>
      </c>
      <c r="E167" s="282">
        <f t="shared" si="66"/>
        <v>55.522306866406609</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40.171251929347434</v>
      </c>
      <c r="D168" s="282">
        <f t="shared" ref="D168:BC168" si="67">C173+D167</f>
        <v>88.24564547114494</v>
      </c>
      <c r="E168" s="282">
        <f t="shared" si="67"/>
        <v>143.76795233755155</v>
      </c>
      <c r="F168" s="282">
        <f t="shared" si="67"/>
        <v>143.76795233755155</v>
      </c>
      <c r="G168" s="282">
        <f t="shared" si="67"/>
        <v>136.57955472067397</v>
      </c>
      <c r="H168" s="282">
        <f t="shared" si="67"/>
        <v>129.39115710379639</v>
      </c>
      <c r="I168" s="282">
        <f t="shared" si="67"/>
        <v>122.20275948691881</v>
      </c>
      <c r="J168" s="282">
        <f t="shared" si="67"/>
        <v>115.01436187004123</v>
      </c>
      <c r="K168" s="282">
        <f t="shared" si="67"/>
        <v>107.82596425316365</v>
      </c>
      <c r="L168" s="282">
        <f t="shared" si="67"/>
        <v>100.63756663628607</v>
      </c>
      <c r="M168" s="282">
        <f t="shared" si="67"/>
        <v>93.449169019408487</v>
      </c>
      <c r="N168" s="282">
        <f t="shared" si="67"/>
        <v>86.260771402530906</v>
      </c>
      <c r="O168" s="282">
        <f t="shared" si="67"/>
        <v>79.072373785653326</v>
      </c>
      <c r="P168" s="282">
        <f t="shared" si="67"/>
        <v>71.883976168775746</v>
      </c>
      <c r="Q168" s="282">
        <f t="shared" si="67"/>
        <v>64.695578551898166</v>
      </c>
      <c r="R168" s="282">
        <f t="shared" si="67"/>
        <v>57.507180935020585</v>
      </c>
      <c r="S168" s="282">
        <f t="shared" si="67"/>
        <v>50.318783318143005</v>
      </c>
      <c r="T168" s="282">
        <f t="shared" si="67"/>
        <v>43.130385701265425</v>
      </c>
      <c r="U168" s="282">
        <f t="shared" si="67"/>
        <v>35.941988084387845</v>
      </c>
      <c r="V168" s="282">
        <f t="shared" si="67"/>
        <v>28.753590467510268</v>
      </c>
      <c r="W168" s="282">
        <f t="shared" si="67"/>
        <v>21.565192850632691</v>
      </c>
      <c r="X168" s="282">
        <f t="shared" si="67"/>
        <v>14.376795233755114</v>
      </c>
      <c r="Y168" s="282">
        <f t="shared" si="67"/>
        <v>7.1883976168775368</v>
      </c>
      <c r="Z168" s="282">
        <f t="shared" si="67"/>
        <v>-4.0856207306205761E-14</v>
      </c>
      <c r="AA168" s="282">
        <f t="shared" si="67"/>
        <v>-4.0856207306205761E-14</v>
      </c>
      <c r="AB168" s="282">
        <f t="shared" si="67"/>
        <v>-4.0856207306205761E-14</v>
      </c>
      <c r="AC168" s="282">
        <f t="shared" si="67"/>
        <v>-4.0856207306205761E-14</v>
      </c>
      <c r="AD168" s="282">
        <f t="shared" si="67"/>
        <v>-4.0856207306205761E-14</v>
      </c>
      <c r="AE168" s="282">
        <f t="shared" si="67"/>
        <v>-4.0856207306205761E-14</v>
      </c>
      <c r="AF168" s="282">
        <f t="shared" si="67"/>
        <v>-4.0856207306205761E-14</v>
      </c>
      <c r="AG168" s="282">
        <f t="shared" si="67"/>
        <v>-4.0856207306205761E-14</v>
      </c>
      <c r="AH168" s="282">
        <f t="shared" si="67"/>
        <v>-4.0856207306205761E-14</v>
      </c>
      <c r="AI168" s="282">
        <f t="shared" si="67"/>
        <v>-4.0856207306205761E-14</v>
      </c>
      <c r="AJ168" s="282">
        <f t="shared" si="67"/>
        <v>-4.0856207306205761E-14</v>
      </c>
      <c r="AK168" s="282">
        <f t="shared" si="67"/>
        <v>-4.0856207306205761E-14</v>
      </c>
      <c r="AL168" s="282">
        <f t="shared" si="67"/>
        <v>-4.0856207306205761E-14</v>
      </c>
      <c r="AM168" s="282">
        <f t="shared" si="67"/>
        <v>-4.0856207306205761E-14</v>
      </c>
      <c r="AN168" s="282">
        <f t="shared" si="67"/>
        <v>-4.0856207306205761E-14</v>
      </c>
      <c r="AO168" s="282">
        <f t="shared" si="67"/>
        <v>-4.0856207306205761E-14</v>
      </c>
      <c r="AP168" s="282">
        <f t="shared" si="67"/>
        <v>-4.0856207306205761E-14</v>
      </c>
      <c r="AQ168" s="282">
        <f t="shared" si="67"/>
        <v>-4.0856207306205761E-14</v>
      </c>
      <c r="AR168" s="282">
        <f t="shared" si="67"/>
        <v>-4.0856207306205761E-14</v>
      </c>
      <c r="AS168" s="282">
        <f t="shared" si="67"/>
        <v>-4.0856207306205761E-14</v>
      </c>
      <c r="AT168" s="282">
        <f t="shared" si="67"/>
        <v>-4.0856207306205761E-14</v>
      </c>
      <c r="AU168" s="282">
        <f t="shared" si="67"/>
        <v>-4.0856207306205761E-14</v>
      </c>
      <c r="AV168" s="282">
        <f t="shared" si="67"/>
        <v>-4.0856207306205761E-14</v>
      </c>
      <c r="AW168" s="282">
        <f t="shared" si="67"/>
        <v>-4.0856207306205761E-14</v>
      </c>
      <c r="AX168" s="282">
        <f t="shared" si="67"/>
        <v>-4.0856207306205761E-14</v>
      </c>
      <c r="AY168" s="282">
        <f t="shared" si="67"/>
        <v>-4.0856207306205761E-14</v>
      </c>
      <c r="AZ168" s="282">
        <f t="shared" si="67"/>
        <v>-4.0856207306205761E-14</v>
      </c>
      <c r="BA168" s="282">
        <f t="shared" si="67"/>
        <v>-4.0856207306205761E-14</v>
      </c>
      <c r="BB168" s="282">
        <f t="shared" si="67"/>
        <v>-4.0856207306205761E-14</v>
      </c>
      <c r="BC168" s="282">
        <f t="shared" si="67"/>
        <v>-4.0856207306205761E-14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-7.1883976168775776</v>
      </c>
      <c r="G171" s="282">
        <f t="shared" si="70"/>
        <v>-7.1883976168775776</v>
      </c>
      <c r="H171" s="282">
        <f t="shared" si="70"/>
        <v>-7.1883976168775776</v>
      </c>
      <c r="I171" s="282">
        <f t="shared" si="70"/>
        <v>-7.1883976168775776</v>
      </c>
      <c r="J171" s="282">
        <f t="shared" si="70"/>
        <v>-7.1883976168775776</v>
      </c>
      <c r="K171" s="282">
        <f t="shared" si="70"/>
        <v>-7.1883976168775776</v>
      </c>
      <c r="L171" s="282">
        <f t="shared" si="70"/>
        <v>-7.1883976168775776</v>
      </c>
      <c r="M171" s="282">
        <f t="shared" si="70"/>
        <v>-7.1883976168775776</v>
      </c>
      <c r="N171" s="282">
        <f t="shared" si="70"/>
        <v>-7.1883976168775776</v>
      </c>
      <c r="O171" s="282">
        <f t="shared" si="70"/>
        <v>-7.1883976168775776</v>
      </c>
      <c r="P171" s="282">
        <f t="shared" si="70"/>
        <v>-7.1883976168775776</v>
      </c>
      <c r="Q171" s="282">
        <f t="shared" si="70"/>
        <v>-7.1883976168775776</v>
      </c>
      <c r="R171" s="282">
        <f t="shared" si="70"/>
        <v>-7.1883976168775776</v>
      </c>
      <c r="S171" s="282">
        <f t="shared" si="70"/>
        <v>-7.1883976168775776</v>
      </c>
      <c r="T171" s="282">
        <f t="shared" si="70"/>
        <v>-7.1883976168775776</v>
      </c>
      <c r="U171" s="282">
        <f t="shared" si="70"/>
        <v>-7.1883976168775776</v>
      </c>
      <c r="V171" s="282">
        <f t="shared" si="70"/>
        <v>-7.1883976168775776</v>
      </c>
      <c r="W171" s="282">
        <f t="shared" si="70"/>
        <v>-7.1883976168775776</v>
      </c>
      <c r="X171" s="282">
        <f t="shared" si="70"/>
        <v>-7.1883976168775776</v>
      </c>
      <c r="Y171" s="282">
        <f t="shared" si="70"/>
        <v>-7.1883976168775776</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-1.7474494589266132</v>
      </c>
      <c r="E172" s="282">
        <f t="shared" si="72"/>
        <v>-3.8386855779948048</v>
      </c>
      <c r="F172" s="282">
        <f t="shared" si="72"/>
        <v>-7.1883976168775776</v>
      </c>
      <c r="G172" s="282">
        <f t="shared" si="72"/>
        <v>-6.828977736033699</v>
      </c>
      <c r="H172" s="282">
        <f t="shared" si="72"/>
        <v>-6.4695578551898194</v>
      </c>
      <c r="I172" s="282">
        <f t="shared" si="72"/>
        <v>-6.1101379743459407</v>
      </c>
      <c r="J172" s="282">
        <f t="shared" si="72"/>
        <v>-5.7507180935020621</v>
      </c>
      <c r="K172" s="282">
        <f t="shared" si="72"/>
        <v>-5.3912982126581825</v>
      </c>
      <c r="L172" s="282">
        <f t="shared" si="72"/>
        <v>-5.0318783318143039</v>
      </c>
      <c r="M172" s="282">
        <f t="shared" si="72"/>
        <v>-4.6724584509704243</v>
      </c>
      <c r="N172" s="282">
        <f t="shared" si="72"/>
        <v>-4.3130385701265457</v>
      </c>
      <c r="O172" s="282">
        <f t="shared" si="72"/>
        <v>-3.9536186892826666</v>
      </c>
      <c r="P172" s="282">
        <f t="shared" si="72"/>
        <v>-3.5941988084387875</v>
      </c>
      <c r="Q172" s="282">
        <f t="shared" si="72"/>
        <v>-3.2347789275949084</v>
      </c>
      <c r="R172" s="282">
        <f t="shared" si="72"/>
        <v>-2.8753590467510293</v>
      </c>
      <c r="S172" s="282">
        <f t="shared" si="72"/>
        <v>-2.5159391659071506</v>
      </c>
      <c r="T172" s="282">
        <f t="shared" si="72"/>
        <v>-2.1565192850632715</v>
      </c>
      <c r="U172" s="282">
        <f t="shared" si="72"/>
        <v>-1.7970994042193924</v>
      </c>
      <c r="V172" s="282">
        <f t="shared" si="72"/>
        <v>-1.4376795233755135</v>
      </c>
      <c r="W172" s="282">
        <f t="shared" si="72"/>
        <v>-1.0782596425316346</v>
      </c>
      <c r="X172" s="282">
        <f t="shared" si="72"/>
        <v>-0.71883976168775576</v>
      </c>
      <c r="Y172" s="282">
        <f t="shared" si="72"/>
        <v>-0.35941988084387688</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40.171251929347434</v>
      </c>
      <c r="D173" s="282">
        <f t="shared" ref="D173:BC173" si="74">D168+D171</f>
        <v>88.24564547114494</v>
      </c>
      <c r="E173" s="282">
        <f t="shared" si="74"/>
        <v>143.76795233755155</v>
      </c>
      <c r="F173" s="282">
        <f t="shared" si="74"/>
        <v>136.57955472067397</v>
      </c>
      <c r="G173" s="282">
        <f t="shared" si="74"/>
        <v>129.39115710379639</v>
      </c>
      <c r="H173" s="282">
        <f t="shared" si="74"/>
        <v>122.20275948691881</v>
      </c>
      <c r="I173" s="282">
        <f t="shared" si="74"/>
        <v>115.01436187004123</v>
      </c>
      <c r="J173" s="282">
        <f t="shared" si="74"/>
        <v>107.82596425316365</v>
      </c>
      <c r="K173" s="282">
        <f t="shared" si="74"/>
        <v>100.63756663628607</v>
      </c>
      <c r="L173" s="282">
        <f t="shared" si="74"/>
        <v>93.449169019408487</v>
      </c>
      <c r="M173" s="282">
        <f t="shared" si="74"/>
        <v>86.260771402530906</v>
      </c>
      <c r="N173" s="282">
        <f t="shared" si="74"/>
        <v>79.072373785653326</v>
      </c>
      <c r="O173" s="282">
        <f t="shared" si="74"/>
        <v>71.883976168775746</v>
      </c>
      <c r="P173" s="282">
        <f t="shared" si="74"/>
        <v>64.695578551898166</v>
      </c>
      <c r="Q173" s="282">
        <f t="shared" si="74"/>
        <v>57.507180935020585</v>
      </c>
      <c r="R173" s="282">
        <f t="shared" si="74"/>
        <v>50.318783318143005</v>
      </c>
      <c r="S173" s="282">
        <f t="shared" si="74"/>
        <v>43.130385701265425</v>
      </c>
      <c r="T173" s="282">
        <f t="shared" si="74"/>
        <v>35.941988084387845</v>
      </c>
      <c r="U173" s="282">
        <f t="shared" si="74"/>
        <v>28.753590467510268</v>
      </c>
      <c r="V173" s="282">
        <f t="shared" si="74"/>
        <v>21.565192850632691</v>
      </c>
      <c r="W173" s="282">
        <f t="shared" si="74"/>
        <v>14.376795233755114</v>
      </c>
      <c r="X173" s="282">
        <f t="shared" si="74"/>
        <v>7.1883976168775368</v>
      </c>
      <c r="Y173" s="282">
        <f t="shared" si="74"/>
        <v>-4.0856207306205761E-14</v>
      </c>
      <c r="Z173" s="282">
        <f t="shared" si="74"/>
        <v>-4.0856207306205761E-14</v>
      </c>
      <c r="AA173" s="282">
        <f t="shared" si="74"/>
        <v>-4.0856207306205761E-14</v>
      </c>
      <c r="AB173" s="282">
        <f t="shared" si="74"/>
        <v>-4.0856207306205761E-14</v>
      </c>
      <c r="AC173" s="282">
        <f t="shared" si="74"/>
        <v>-4.0856207306205761E-14</v>
      </c>
      <c r="AD173" s="282">
        <f t="shared" si="74"/>
        <v>-4.0856207306205761E-14</v>
      </c>
      <c r="AE173" s="282">
        <f t="shared" si="74"/>
        <v>-4.0856207306205761E-14</v>
      </c>
      <c r="AF173" s="282">
        <f t="shared" si="74"/>
        <v>-4.0856207306205761E-14</v>
      </c>
      <c r="AG173" s="282">
        <f t="shared" si="74"/>
        <v>-4.0856207306205761E-14</v>
      </c>
      <c r="AH173" s="282">
        <f t="shared" si="74"/>
        <v>-4.0856207306205761E-14</v>
      </c>
      <c r="AI173" s="282">
        <f t="shared" si="74"/>
        <v>-4.0856207306205761E-14</v>
      </c>
      <c r="AJ173" s="282">
        <f t="shared" si="74"/>
        <v>-4.0856207306205761E-14</v>
      </c>
      <c r="AK173" s="282">
        <f t="shared" si="74"/>
        <v>-4.0856207306205761E-14</v>
      </c>
      <c r="AL173" s="282">
        <f t="shared" si="74"/>
        <v>-4.0856207306205761E-14</v>
      </c>
      <c r="AM173" s="282">
        <f t="shared" si="74"/>
        <v>-4.0856207306205761E-14</v>
      </c>
      <c r="AN173" s="282">
        <f t="shared" si="74"/>
        <v>-4.0856207306205761E-14</v>
      </c>
      <c r="AO173" s="282">
        <f t="shared" si="74"/>
        <v>-4.0856207306205761E-14</v>
      </c>
      <c r="AP173" s="282">
        <f t="shared" si="74"/>
        <v>-4.0856207306205761E-14</v>
      </c>
      <c r="AQ173" s="282">
        <f t="shared" si="74"/>
        <v>-4.0856207306205761E-14</v>
      </c>
      <c r="AR173" s="282">
        <f t="shared" si="74"/>
        <v>-4.0856207306205761E-14</v>
      </c>
      <c r="AS173" s="282">
        <f t="shared" si="74"/>
        <v>-4.0856207306205761E-14</v>
      </c>
      <c r="AT173" s="282">
        <f t="shared" si="74"/>
        <v>-4.0856207306205761E-14</v>
      </c>
      <c r="AU173" s="282">
        <f t="shared" si="74"/>
        <v>-4.0856207306205761E-14</v>
      </c>
      <c r="AV173" s="282">
        <f t="shared" si="74"/>
        <v>-4.0856207306205761E-14</v>
      </c>
      <c r="AW173" s="282">
        <f t="shared" si="74"/>
        <v>-4.0856207306205761E-14</v>
      </c>
      <c r="AX173" s="282">
        <f t="shared" si="74"/>
        <v>-4.0856207306205761E-14</v>
      </c>
      <c r="AY173" s="282">
        <f t="shared" si="74"/>
        <v>-4.0856207306205761E-14</v>
      </c>
      <c r="AZ173" s="282">
        <f t="shared" si="74"/>
        <v>-4.0856207306205761E-14</v>
      </c>
      <c r="BA173" s="282">
        <f t="shared" si="74"/>
        <v>-4.0856207306205761E-14</v>
      </c>
      <c r="BB173" s="282">
        <f t="shared" si="74"/>
        <v>-4.0856207306205761E-14</v>
      </c>
      <c r="BC173" s="282">
        <f t="shared" si="74"/>
        <v>-4.0856207306205761E-14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12.258726463285484</v>
      </c>
      <c r="D175" s="282">
        <f t="shared" ref="D175:BC175" si="75">D156+D167+D171+D172-D148+D35*$H$29*(1-0.0925-$C$10)/1000000+D149</f>
        <v>7.2812953648225305</v>
      </c>
      <c r="E175" s="282">
        <f t="shared" si="75"/>
        <v>2.1559137154062453</v>
      </c>
      <c r="F175" s="282">
        <f t="shared" si="75"/>
        <v>-9.9685831382986478</v>
      </c>
      <c r="G175" s="282">
        <f t="shared" si="75"/>
        <v>-9.500560306278695</v>
      </c>
      <c r="H175" s="282">
        <f t="shared" si="75"/>
        <v>-9.0320270403882095</v>
      </c>
      <c r="I175" s="282">
        <f t="shared" si="75"/>
        <v>-8.5629809415880178</v>
      </c>
      <c r="J175" s="282">
        <f t="shared" si="75"/>
        <v>-8.0934195995634237</v>
      </c>
      <c r="K175" s="282">
        <f t="shared" si="75"/>
        <v>-7.6233405926712701</v>
      </c>
      <c r="L175" s="282">
        <f t="shared" si="75"/>
        <v>-7.1527414878867006</v>
      </c>
      <c r="M175" s="282">
        <f t="shared" si="75"/>
        <v>-6.6816198407496081</v>
      </c>
      <c r="N175" s="282">
        <f t="shared" si="75"/>
        <v>-6.2099731953109565</v>
      </c>
      <c r="O175" s="282">
        <f t="shared" si="75"/>
        <v>-5.7377990840786826</v>
      </c>
      <c r="P175" s="282">
        <f t="shared" si="75"/>
        <v>-5.2650950279635964</v>
      </c>
      <c r="Q175" s="282">
        <f t="shared" si="75"/>
        <v>-4.7918585362247281</v>
      </c>
      <c r="R175" s="282">
        <f t="shared" si="75"/>
        <v>-4.3180871064146613</v>
      </c>
      <c r="S175" s="282">
        <f t="shared" si="75"/>
        <v>-3.8437782243244563</v>
      </c>
      <c r="T175" s="282">
        <f t="shared" si="75"/>
        <v>-3.3689293639283813</v>
      </c>
      <c r="U175" s="282">
        <f t="shared" si="75"/>
        <v>-2.8935379873284242</v>
      </c>
      <c r="V175" s="282">
        <f t="shared" si="75"/>
        <v>-2.4176015446984001</v>
      </c>
      <c r="W175" s="282">
        <f t="shared" si="75"/>
        <v>-1.9411174742279962</v>
      </c>
      <c r="X175" s="282">
        <f t="shared" si="75"/>
        <v>-1.4640832020663355</v>
      </c>
      <c r="Y175" s="282">
        <f t="shared" si="75"/>
        <v>-0.98649614226548743</v>
      </c>
      <c r="Z175" s="282">
        <f t="shared" si="75"/>
        <v>6.6800439201540325</v>
      </c>
      <c r="AA175" s="282">
        <f t="shared" si="75"/>
        <v>6.7993244809061935</v>
      </c>
      <c r="AB175" s="282">
        <f t="shared" si="75"/>
        <v>6.9191656602938698</v>
      </c>
      <c r="AC175" s="282">
        <f t="shared" si="75"/>
        <v>7.0395700932246781</v>
      </c>
      <c r="AD175" s="282">
        <f t="shared" si="75"/>
        <v>7.1605404269902682</v>
      </c>
      <c r="AE175" s="282">
        <f t="shared" si="75"/>
        <v>7.2820793213245345</v>
      </c>
      <c r="AF175" s="282">
        <f t="shared" si="75"/>
        <v>7.4041894484621951</v>
      </c>
      <c r="AG175" s="282">
        <f t="shared" si="75"/>
        <v>7.5268734931973906</v>
      </c>
      <c r="AH175" s="282">
        <f t="shared" si="75"/>
        <v>7.6501341529428455</v>
      </c>
      <c r="AI175" s="282">
        <f t="shared" si="75"/>
        <v>7.7739741377891143</v>
      </c>
      <c r="AJ175" s="282">
        <f t="shared" si="75"/>
        <v>7.8983961705641423</v>
      </c>
      <c r="AK175" s="282">
        <f t="shared" si="75"/>
        <v>8.0234029868932151</v>
      </c>
      <c r="AL175" s="282">
        <f t="shared" si="75"/>
        <v>8.1489973352590539</v>
      </c>
      <c r="AM175" s="282">
        <f t="shared" si="75"/>
        <v>8.2751819770621982</v>
      </c>
      <c r="AN175" s="282">
        <f t="shared" si="75"/>
        <v>8.4019596866818063</v>
      </c>
      <c r="AO175" s="282">
        <f t="shared" si="75"/>
        <v>8.5293332515366451</v>
      </c>
      <c r="AP175" s="282">
        <f t="shared" si="75"/>
        <v>8.6573054721462892</v>
      </c>
      <c r="AQ175" s="282">
        <f t="shared" si="75"/>
        <v>8.785879162192801</v>
      </c>
      <c r="AR175" s="282">
        <f t="shared" si="75"/>
        <v>8.9150571485825338</v>
      </c>
      <c r="AS175" s="282">
        <f t="shared" si="75"/>
        <v>9.0448422715083048</v>
      </c>
      <c r="AT175" s="282">
        <f t="shared" si="75"/>
        <v>9.1752373845118242</v>
      </c>
      <c r="AU175" s="282">
        <f t="shared" si="75"/>
        <v>9.3062453545464514</v>
      </c>
      <c r="AV175" s="282">
        <f t="shared" si="75"/>
        <v>9.4378690620402459</v>
      </c>
      <c r="AW175" s="282">
        <f t="shared" si="75"/>
        <v>9.5701114009592665</v>
      </c>
      <c r="AX175" s="282">
        <f t="shared" si="75"/>
        <v>9.7029752788711932</v>
      </c>
      <c r="AY175" s="282">
        <f t="shared" si="75"/>
        <v>9.8364636170093167</v>
      </c>
      <c r="AZ175" s="282">
        <f t="shared" si="75"/>
        <v>9.9705793503366937</v>
      </c>
      <c r="BA175" s="282">
        <f t="shared" si="75"/>
        <v>10.105325427610701</v>
      </c>
      <c r="BB175" s="282">
        <f t="shared" si="75"/>
        <v>10.240704811447902</v>
      </c>
      <c r="BC175" s="282">
        <f t="shared" si="75"/>
        <v>10.376720478389128</v>
      </c>
    </row>
    <row r="176" spans="1:58" s="192" customFormat="1" ht="16.899999999999999" customHeight="1" outlineLevel="1" x14ac:dyDescent="0.25">
      <c r="B176" s="192" t="s">
        <v>422</v>
      </c>
      <c r="C176" s="282">
        <f>C175</f>
        <v>12.258726463285484</v>
      </c>
      <c r="D176" s="282">
        <f t="shared" ref="D176:BC176" si="76">C176+D175</f>
        <v>19.540021828108014</v>
      </c>
      <c r="E176" s="282">
        <f t="shared" si="76"/>
        <v>21.69593554351426</v>
      </c>
      <c r="F176" s="282">
        <f t="shared" si="76"/>
        <v>11.727352405215612</v>
      </c>
      <c r="G176" s="282">
        <f t="shared" si="76"/>
        <v>2.226792098936917</v>
      </c>
      <c r="H176" s="282">
        <f t="shared" si="76"/>
        <v>-6.8052349414512925</v>
      </c>
      <c r="I176" s="282">
        <f t="shared" si="76"/>
        <v>-15.36821588303931</v>
      </c>
      <c r="J176" s="282">
        <f t="shared" si="76"/>
        <v>-23.461635482602734</v>
      </c>
      <c r="K176" s="282">
        <f t="shared" si="76"/>
        <v>-31.084976075274003</v>
      </c>
      <c r="L176" s="282">
        <f t="shared" si="76"/>
        <v>-38.2377175631607</v>
      </c>
      <c r="M176" s="282">
        <f t="shared" si="76"/>
        <v>-44.919337403910305</v>
      </c>
      <c r="N176" s="282">
        <f t="shared" si="76"/>
        <v>-51.129310599221263</v>
      </c>
      <c r="O176" s="282">
        <f t="shared" si="76"/>
        <v>-56.867109683299944</v>
      </c>
      <c r="P176" s="282">
        <f t="shared" si="76"/>
        <v>-62.13220471126354</v>
      </c>
      <c r="Q176" s="282">
        <f t="shared" si="76"/>
        <v>-66.924063247488263</v>
      </c>
      <c r="R176" s="282">
        <f t="shared" si="76"/>
        <v>-71.242150353902929</v>
      </c>
      <c r="S176" s="282">
        <f t="shared" si="76"/>
        <v>-75.085928578227382</v>
      </c>
      <c r="T176" s="282">
        <f t="shared" si="76"/>
        <v>-78.454857942155769</v>
      </c>
      <c r="U176" s="282">
        <f t="shared" si="76"/>
        <v>-81.348395929484198</v>
      </c>
      <c r="V176" s="282">
        <f t="shared" si="76"/>
        <v>-83.765997474182598</v>
      </c>
      <c r="W176" s="282">
        <f t="shared" si="76"/>
        <v>-85.707114948410592</v>
      </c>
      <c r="X176" s="282">
        <f t="shared" si="76"/>
        <v>-87.171198150476926</v>
      </c>
      <c r="Y176" s="282">
        <f t="shared" si="76"/>
        <v>-88.15769429274242</v>
      </c>
      <c r="Z176" s="282">
        <f t="shared" si="76"/>
        <v>-81.477650372588386</v>
      </c>
      <c r="AA176" s="282">
        <f t="shared" si="76"/>
        <v>-74.678325891682192</v>
      </c>
      <c r="AB176" s="282">
        <f t="shared" si="76"/>
        <v>-67.759160231388321</v>
      </c>
      <c r="AC176" s="282">
        <f t="shared" si="76"/>
        <v>-60.719590138163646</v>
      </c>
      <c r="AD176" s="282">
        <f t="shared" si="76"/>
        <v>-53.55904971117338</v>
      </c>
      <c r="AE176" s="282">
        <f t="shared" si="76"/>
        <v>-46.276970389848842</v>
      </c>
      <c r="AF176" s="282">
        <f t="shared" si="76"/>
        <v>-38.872780941386644</v>
      </c>
      <c r="AG176" s="282">
        <f t="shared" si="76"/>
        <v>-31.345907448189251</v>
      </c>
      <c r="AH176" s="282">
        <f t="shared" si="76"/>
        <v>-23.695773295246404</v>
      </c>
      <c r="AI176" s="282">
        <f t="shared" si="76"/>
        <v>-15.92179915745729</v>
      </c>
      <c r="AJ176" s="282">
        <f t="shared" si="76"/>
        <v>-8.0234029868931476</v>
      </c>
      <c r="AK176" s="282">
        <f t="shared" si="76"/>
        <v>6.7501559897209518E-14</v>
      </c>
      <c r="AL176" s="282">
        <f t="shared" si="76"/>
        <v>8.1489973352591214</v>
      </c>
      <c r="AM176" s="282">
        <f t="shared" si="76"/>
        <v>16.424179312321321</v>
      </c>
      <c r="AN176" s="282">
        <f t="shared" si="76"/>
        <v>24.826138999003128</v>
      </c>
      <c r="AO176" s="282">
        <f t="shared" si="76"/>
        <v>33.355472250539776</v>
      </c>
      <c r="AP176" s="282">
        <f t="shared" si="76"/>
        <v>42.012777722686067</v>
      </c>
      <c r="AQ176" s="282">
        <f t="shared" si="76"/>
        <v>50.798656884878866</v>
      </c>
      <c r="AR176" s="282">
        <f t="shared" si="76"/>
        <v>59.7137140334614</v>
      </c>
      <c r="AS176" s="282">
        <f t="shared" si="76"/>
        <v>68.758556304969702</v>
      </c>
      <c r="AT176" s="282">
        <f t="shared" si="76"/>
        <v>77.933793689481519</v>
      </c>
      <c r="AU176" s="282">
        <f t="shared" si="76"/>
        <v>87.240039044027966</v>
      </c>
      <c r="AV176" s="282">
        <f t="shared" si="76"/>
        <v>96.677908106068216</v>
      </c>
      <c r="AW176" s="282">
        <f t="shared" si="76"/>
        <v>106.24801950702748</v>
      </c>
      <c r="AX176" s="282">
        <f t="shared" si="76"/>
        <v>115.95099478589867</v>
      </c>
      <c r="AY176" s="282">
        <f t="shared" si="76"/>
        <v>125.78745840290799</v>
      </c>
      <c r="AZ176" s="282">
        <f t="shared" si="76"/>
        <v>135.75803775324468</v>
      </c>
      <c r="BA176" s="282">
        <f t="shared" si="76"/>
        <v>145.86336318085537</v>
      </c>
      <c r="BB176" s="282">
        <f t="shared" si="76"/>
        <v>156.10406799230327</v>
      </c>
      <c r="BC176" s="282">
        <f t="shared" si="76"/>
        <v>166.4807884706924</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11.55829385563406</v>
      </c>
      <c r="D178" s="285">
        <f t="shared" ref="D178:BC178" si="77">NPV($D$28,D175)</f>
        <v>6.8652605740359522</v>
      </c>
      <c r="E178" s="285">
        <f t="shared" si="77"/>
        <v>2.0327302615559546</v>
      </c>
      <c r="F178" s="285">
        <f t="shared" si="77"/>
        <v>-9.3990035247017243</v>
      </c>
      <c r="G178" s="285">
        <f t="shared" si="77"/>
        <v>-8.9577223329046713</v>
      </c>
      <c r="H178" s="285">
        <f t="shared" si="77"/>
        <v>-8.5159598721367242</v>
      </c>
      <c r="I178" s="285">
        <f t="shared" si="77"/>
        <v>-8.0737138804337345</v>
      </c>
      <c r="J178" s="285">
        <f t="shared" si="77"/>
        <v>-7.6309820852002863</v>
      </c>
      <c r="K178" s="285">
        <f t="shared" si="77"/>
        <v>-7.187762203159787</v>
      </c>
      <c r="L178" s="285">
        <f t="shared" si="77"/>
        <v>-6.7440519403042627</v>
      </c>
      <c r="M178" s="285">
        <f t="shared" si="77"/>
        <v>-6.29984899184387</v>
      </c>
      <c r="N178" s="285">
        <f t="shared" si="77"/>
        <v>-5.8551510421562858</v>
      </c>
      <c r="O178" s="285">
        <f t="shared" si="77"/>
        <v>-5.4099557647356988</v>
      </c>
      <c r="P178" s="285">
        <f t="shared" si="77"/>
        <v>-4.964260822141803</v>
      </c>
      <c r="Q178" s="285">
        <f t="shared" si="77"/>
        <v>-4.518063865948263</v>
      </c>
      <c r="R178" s="285">
        <f t="shared" si="77"/>
        <v>-4.0713625366911765</v>
      </c>
      <c r="S178" s="285">
        <f t="shared" si="77"/>
        <v>-3.6241544638171379</v>
      </c>
      <c r="T178" s="285">
        <f t="shared" si="77"/>
        <v>-3.1764372656311344</v>
      </c>
      <c r="U178" s="285">
        <f t="shared" si="77"/>
        <v>-2.7282085492442243</v>
      </c>
      <c r="V178" s="285">
        <f t="shared" si="77"/>
        <v>-2.2794659105208375</v>
      </c>
      <c r="W178" s="285">
        <f t="shared" si="77"/>
        <v>-1.8302069340260194</v>
      </c>
      <c r="X178" s="285">
        <f t="shared" si="77"/>
        <v>-1.380429192972219</v>
      </c>
      <c r="Y178" s="285">
        <f t="shared" si="77"/>
        <v>-0.93013024916602627</v>
      </c>
      <c r="Z178" s="285">
        <f t="shared" si="77"/>
        <v>6.2983631153630331</v>
      </c>
      <c r="AA178" s="285">
        <f t="shared" si="77"/>
        <v>6.410828286730335</v>
      </c>
      <c r="AB178" s="285">
        <f t="shared" si="77"/>
        <v>6.5238220444030457</v>
      </c>
      <c r="AC178" s="285">
        <f t="shared" si="77"/>
        <v>6.6373468727368268</v>
      </c>
      <c r="AD178" s="285">
        <f t="shared" si="77"/>
        <v>6.7514052677637828</v>
      </c>
      <c r="AE178" s="285">
        <f t="shared" si="77"/>
        <v>6.8659997372473454</v>
      </c>
      <c r="AF178" s="285">
        <f t="shared" si="77"/>
        <v>6.9811328007375026</v>
      </c>
      <c r="AG178" s="285">
        <f t="shared" si="77"/>
        <v>7.0968069896260522</v>
      </c>
      <c r="AH178" s="285">
        <f t="shared" si="77"/>
        <v>7.213024847202381</v>
      </c>
      <c r="AI178" s="285">
        <f t="shared" si="77"/>
        <v>7.3297889287093287</v>
      </c>
      <c r="AJ178" s="285">
        <f t="shared" si="77"/>
        <v>7.4471018013993424</v>
      </c>
      <c r="AK178" s="285">
        <f t="shared" si="77"/>
        <v>7.5649660445910003</v>
      </c>
      <c r="AL178" s="285">
        <f t="shared" si="77"/>
        <v>7.6833842497256777</v>
      </c>
      <c r="AM178" s="285">
        <f t="shared" si="77"/>
        <v>7.8023590204244755</v>
      </c>
      <c r="AN178" s="285">
        <f t="shared" si="77"/>
        <v>7.921892972545546</v>
      </c>
      <c r="AO178" s="285">
        <f t="shared" si="77"/>
        <v>8.0419887342416043</v>
      </c>
      <c r="AP178" s="285">
        <f t="shared" si="77"/>
        <v>8.1626489460176206</v>
      </c>
      <c r="AQ178" s="285">
        <f t="shared" si="77"/>
        <v>8.283876260788988</v>
      </c>
      <c r="AR178" s="285">
        <f t="shared" si="77"/>
        <v>8.4056733439397835</v>
      </c>
      <c r="AS178" s="285">
        <f t="shared" si="77"/>
        <v>8.5280428733813931</v>
      </c>
      <c r="AT178" s="285">
        <f t="shared" si="77"/>
        <v>8.6509875396113749</v>
      </c>
      <c r="AU178" s="285">
        <f t="shared" si="77"/>
        <v>8.7745100457726295</v>
      </c>
      <c r="AV178" s="285">
        <f t="shared" si="77"/>
        <v>8.8986131077128476</v>
      </c>
      <c r="AW178" s="285">
        <f t="shared" si="77"/>
        <v>9.0232994540441886</v>
      </c>
      <c r="AX178" s="285">
        <f t="shared" si="77"/>
        <v>9.1485718262032751</v>
      </c>
      <c r="AY178" s="285">
        <f t="shared" si="77"/>
        <v>9.274432978511518</v>
      </c>
      <c r="AZ178" s="285">
        <f t="shared" si="77"/>
        <v>9.4008856782356158</v>
      </c>
      <c r="BA178" s="285">
        <f t="shared" si="77"/>
        <v>9.5279327056484071</v>
      </c>
      <c r="BB178" s="285">
        <f t="shared" si="77"/>
        <v>9.6555768540900448</v>
      </c>
      <c r="BC178" s="285">
        <f t="shared" si="77"/>
        <v>9.7838209300293499</v>
      </c>
    </row>
    <row r="179" spans="2:55" s="192" customFormat="1" ht="16.899999999999999" customHeight="1" outlineLevel="1" x14ac:dyDescent="0.25">
      <c r="B179" s="286" t="s">
        <v>420</v>
      </c>
      <c r="C179" s="285">
        <f>C178</f>
        <v>11.55829385563406</v>
      </c>
      <c r="D179" s="285">
        <f t="shared" ref="D179" si="78">C179+D178</f>
        <v>18.423554429670013</v>
      </c>
      <c r="E179" s="285">
        <f t="shared" ref="E179" si="79">D179+E178</f>
        <v>20.456284691225967</v>
      </c>
      <c r="F179" s="285">
        <f t="shared" ref="F179" si="80">E179+F178</f>
        <v>11.057281166524243</v>
      </c>
      <c r="G179" s="285">
        <f t="shared" ref="G179" si="81">F179+G178</f>
        <v>2.0995588336195716</v>
      </c>
      <c r="H179" s="285">
        <f t="shared" ref="H179" si="82">G179+H178</f>
        <v>-6.4164010385171526</v>
      </c>
      <c r="I179" s="285">
        <f t="shared" ref="I179" si="83">H179+I178</f>
        <v>-14.490114918950887</v>
      </c>
      <c r="J179" s="285">
        <f t="shared" ref="J179" si="84">I179+J178</f>
        <v>-22.121097004151174</v>
      </c>
      <c r="K179" s="285">
        <f t="shared" ref="K179" si="85">J179+K178</f>
        <v>-29.30885920731096</v>
      </c>
      <c r="L179" s="285">
        <f t="shared" ref="L179" si="86">K179+L178</f>
        <v>-36.05291114761522</v>
      </c>
      <c r="M179" s="285">
        <f t="shared" ref="M179" si="87">L179+M178</f>
        <v>-42.352760139459093</v>
      </c>
      <c r="N179" s="285">
        <f t="shared" ref="N179" si="88">M179+N178</f>
        <v>-48.20791118161538</v>
      </c>
      <c r="O179" s="285">
        <f t="shared" ref="O179" si="89">N179+O178</f>
        <v>-53.617866946351079</v>
      </c>
      <c r="P179" s="285">
        <f t="shared" ref="P179" si="90">O179+P178</f>
        <v>-58.582127768492882</v>
      </c>
      <c r="Q179" s="285">
        <f t="shared" ref="Q179" si="91">P179+Q178</f>
        <v>-63.100191634441146</v>
      </c>
      <c r="R179" s="285">
        <f t="shared" ref="R179" si="92">Q179+R178</f>
        <v>-67.171554171132328</v>
      </c>
      <c r="S179" s="285">
        <f t="shared" ref="S179" si="93">R179+S178</f>
        <v>-70.795708634949463</v>
      </c>
      <c r="T179" s="285">
        <f t="shared" ref="T179" si="94">S179+T178</f>
        <v>-73.9721459005806</v>
      </c>
      <c r="U179" s="285">
        <f t="shared" ref="U179" si="95">T179+U178</f>
        <v>-76.700354449824829</v>
      </c>
      <c r="V179" s="285">
        <f t="shared" ref="V179" si="96">U179+V178</f>
        <v>-78.97982036034567</v>
      </c>
      <c r="W179" s="285">
        <f t="shared" ref="W179" si="97">V179+W178</f>
        <v>-80.810027294371693</v>
      </c>
      <c r="X179" s="285">
        <f t="shared" ref="X179" si="98">W179+X178</f>
        <v>-82.190456487343909</v>
      </c>
      <c r="Y179" s="285">
        <f t="shared" ref="Y179" si="99">X179+Y178</f>
        <v>-83.120586736509935</v>
      </c>
      <c r="Z179" s="285">
        <f t="shared" ref="Z179" si="100">Y179+Z178</f>
        <v>-76.822223621146904</v>
      </c>
      <c r="AA179" s="285">
        <f t="shared" ref="AA179" si="101">Z179+AA178</f>
        <v>-70.411395334416568</v>
      </c>
      <c r="AB179" s="285">
        <f t="shared" ref="AB179" si="102">AA179+AB178</f>
        <v>-63.88757329001352</v>
      </c>
      <c r="AC179" s="285">
        <f t="shared" ref="AC179" si="103">AB179+AC178</f>
        <v>-57.250226417276693</v>
      </c>
      <c r="AD179" s="285">
        <f t="shared" ref="AD179" si="104">AC179+AD178</f>
        <v>-50.498821149512906</v>
      </c>
      <c r="AE179" s="285">
        <f t="shared" ref="AE179" si="105">AD179+AE178</f>
        <v>-43.632821412265564</v>
      </c>
      <c r="AF179" s="285">
        <f t="shared" ref="AF179" si="106">AE179+AF178</f>
        <v>-36.651688611528058</v>
      </c>
      <c r="AG179" s="285">
        <f t="shared" ref="AG179" si="107">AF179+AG178</f>
        <v>-29.554881621902005</v>
      </c>
      <c r="AH179" s="285">
        <f t="shared" ref="AH179" si="108">AG179+AH178</f>
        <v>-22.341856774699625</v>
      </c>
      <c r="AI179" s="285">
        <f t="shared" ref="AI179" si="109">AH179+AI178</f>
        <v>-15.012067845990297</v>
      </c>
      <c r="AJ179" s="285">
        <f t="shared" ref="AJ179" si="110">AI179+AJ178</f>
        <v>-7.5649660445909541</v>
      </c>
      <c r="AK179" s="285">
        <f t="shared" ref="AK179" si="111">AJ179+AK178</f>
        <v>4.6185277824406512E-14</v>
      </c>
      <c r="AL179" s="285">
        <f t="shared" ref="AL179" si="112">AK179+AL178</f>
        <v>7.6833842497257239</v>
      </c>
      <c r="AM179" s="285">
        <f t="shared" ref="AM179" si="113">AL179+AM178</f>
        <v>15.485743270150198</v>
      </c>
      <c r="AN179" s="285">
        <f t="shared" ref="AN179" si="114">AM179+AN178</f>
        <v>23.407636242695744</v>
      </c>
      <c r="AO179" s="285">
        <f t="shared" ref="AO179" si="115">AN179+AO178</f>
        <v>31.449624976937351</v>
      </c>
      <c r="AP179" s="285">
        <f t="shared" ref="AP179" si="116">AO179+AP178</f>
        <v>39.612273922954969</v>
      </c>
      <c r="AQ179" s="285">
        <f t="shared" ref="AQ179" si="117">AP179+AQ178</f>
        <v>47.896150183743956</v>
      </c>
      <c r="AR179" s="285">
        <f t="shared" ref="AR179" si="118">AQ179+AR178</f>
        <v>56.301823527683737</v>
      </c>
      <c r="AS179" s="285">
        <f t="shared" ref="AS179" si="119">AR179+AS178</f>
        <v>64.829866401065132</v>
      </c>
      <c r="AT179" s="285">
        <f t="shared" ref="AT179" si="120">AS179+AT178</f>
        <v>73.480853940676511</v>
      </c>
      <c r="AU179" s="285">
        <f t="shared" ref="AU179" si="121">AT179+AU178</f>
        <v>82.25536398644914</v>
      </c>
      <c r="AV179" s="285">
        <f t="shared" ref="AV179" si="122">AU179+AV178</f>
        <v>91.153977094161988</v>
      </c>
      <c r="AW179" s="285">
        <f t="shared" ref="AW179" si="123">AV179+AW178</f>
        <v>100.17727654820618</v>
      </c>
      <c r="AX179" s="285">
        <f t="shared" ref="AX179" si="124">AW179+AX178</f>
        <v>109.32584837440946</v>
      </c>
      <c r="AY179" s="285">
        <f t="shared" ref="AY179" si="125">AX179+AY178</f>
        <v>118.60028135292097</v>
      </c>
      <c r="AZ179" s="285">
        <f t="shared" ref="AZ179" si="126">AY179+AZ178</f>
        <v>128.0011670311566</v>
      </c>
      <c r="BA179" s="285">
        <f t="shared" ref="BA179" si="127">AZ179+BA178</f>
        <v>137.52909973680499</v>
      </c>
      <c r="BB179" s="285">
        <f t="shared" ref="BB179" si="128">BA179+BB178</f>
        <v>147.18467659089504</v>
      </c>
      <c r="BC179" s="285">
        <f t="shared" ref="BC179" si="129">BB179+BC178</f>
        <v>156.96849752092439</v>
      </c>
    </row>
    <row r="180" spans="2:55" s="192" customFormat="1" ht="16.899999999999999" customHeight="1" outlineLevel="1" x14ac:dyDescent="0.25">
      <c r="B180" s="192" t="s">
        <v>367</v>
      </c>
      <c r="C180" s="282">
        <f>C175/(1+$D$28)^C32</f>
        <v>12.258726463285484</v>
      </c>
      <c r="D180" s="282">
        <f t="shared" ref="D180:BC180" si="130">D175/(1+$D$28)^D32</f>
        <v>6.8652605740359522</v>
      </c>
      <c r="E180" s="282">
        <f t="shared" si="130"/>
        <v>1.9165851985253202</v>
      </c>
      <c r="F180" s="282">
        <f t="shared" si="130"/>
        <v>-8.3556178095634994</v>
      </c>
      <c r="G180" s="282">
        <f t="shared" si="130"/>
        <v>-7.5083192084123276</v>
      </c>
      <c r="H180" s="282">
        <f t="shared" si="130"/>
        <v>-6.7301867494884444</v>
      </c>
      <c r="I180" s="282">
        <f t="shared" si="130"/>
        <v>-6.016102690379074</v>
      </c>
      <c r="J180" s="282">
        <f t="shared" si="130"/>
        <v>-5.3613072557527035</v>
      </c>
      <c r="K180" s="282">
        <f t="shared" si="130"/>
        <v>-4.7613744942254455</v>
      </c>
      <c r="L180" s="282">
        <f t="shared" si="130"/>
        <v>-4.2121897225956744</v>
      </c>
      <c r="M180" s="282">
        <f t="shared" si="130"/>
        <v>-3.7099284550251044</v>
      </c>
      <c r="N180" s="282">
        <f t="shared" si="130"/>
        <v>-3.2510367212583731</v>
      </c>
      <c r="O180" s="282">
        <f t="shared" si="130"/>
        <v>-2.8322126840772111</v>
      </c>
      <c r="P180" s="282">
        <f t="shared" si="130"/>
        <v>-2.4503894719058761</v>
      </c>
      <c r="Q180" s="282">
        <f t="shared" si="130"/>
        <v>-2.1027191478441312</v>
      </c>
      <c r="R180" s="282">
        <f t="shared" si="130"/>
        <v>-1.7865577414270937</v>
      </c>
      <c r="S180" s="282">
        <f t="shared" si="130"/>
        <v>-1.4994512741166321</v>
      </c>
      <c r="T180" s="282">
        <f t="shared" si="130"/>
        <v>-1.2391227139383769</v>
      </c>
      <c r="U180" s="282">
        <f t="shared" si="130"/>
        <v>-1.0034597988090237</v>
      </c>
      <c r="V180" s="282">
        <f t="shared" si="130"/>
        <v>-0.79050367196843274</v>
      </c>
      <c r="W180" s="282">
        <f t="shared" si="130"/>
        <v>-0.59843827655650517</v>
      </c>
      <c r="X180" s="282">
        <f t="shared" si="130"/>
        <v>-0.42558045977054115</v>
      </c>
      <c r="Y180" s="282">
        <f t="shared" si="130"/>
        <v>-0.27037074022015195</v>
      </c>
      <c r="Z180" s="282">
        <f t="shared" si="130"/>
        <v>1.7262035042177797</v>
      </c>
      <c r="AA180" s="282">
        <f t="shared" si="130"/>
        <v>1.6566349541661687</v>
      </c>
      <c r="AB180" s="282">
        <f t="shared" si="130"/>
        <v>1.5895096143547303</v>
      </c>
      <c r="AC180" s="282">
        <f t="shared" si="130"/>
        <v>1.5247686189340934</v>
      </c>
      <c r="AD180" s="282">
        <f t="shared" si="130"/>
        <v>1.4623522103857525</v>
      </c>
      <c r="AE180" s="282">
        <f t="shared" si="130"/>
        <v>1.4022000147399345</v>
      </c>
      <c r="AF180" s="282">
        <f t="shared" si="130"/>
        <v>1.3442512892478438</v>
      </c>
      <c r="AG180" s="282">
        <f t="shared" si="130"/>
        <v>1.2884451447051108</v>
      </c>
      <c r="AH180" s="282">
        <f t="shared" si="130"/>
        <v>1.2347207444650896</v>
      </c>
      <c r="AI180" s="282">
        <f t="shared" si="130"/>
        <v>1.1830174820328501</v>
      </c>
      <c r="AJ180" s="282">
        <f t="shared" si="130"/>
        <v>1.1332751389933611</v>
      </c>
      <c r="AK180" s="282">
        <f t="shared" si="130"/>
        <v>1.0854340248992074</v>
      </c>
      <c r="AL180" s="282">
        <f t="shared" si="130"/>
        <v>1.039435100623834</v>
      </c>
      <c r="AM180" s="282">
        <f t="shared" si="130"/>
        <v>0.99522008657527405</v>
      </c>
      <c r="AN180" s="282">
        <f t="shared" si="130"/>
        <v>0.95273155706187507</v>
      </c>
      <c r="AO180" s="282">
        <f t="shared" si="130"/>
        <v>0.91191302200522284</v>
      </c>
      <c r="AP180" s="282">
        <f t="shared" si="130"/>
        <v>0.87270899710591476</v>
      </c>
      <c r="AQ180" s="282">
        <f t="shared" si="130"/>
        <v>0.83506506348451182</v>
      </c>
      <c r="AR180" s="282">
        <f t="shared" si="130"/>
        <v>0.79892791774241234</v>
      </c>
      <c r="AS180" s="282">
        <f t="shared" si="130"/>
        <v>0.76424541331537132</v>
      </c>
      <c r="AT180" s="282">
        <f t="shared" si="130"/>
        <v>0.73096659392534691</v>
      </c>
      <c r="AU180" s="282">
        <f t="shared" si="130"/>
        <v>0.69904171987408625</v>
      </c>
      <c r="AV180" s="282">
        <f t="shared" si="130"/>
        <v>0.66842228786400171</v>
      </c>
      <c r="AW180" s="282">
        <f t="shared" si="130"/>
        <v>0.63906104497813121</v>
      </c>
      <c r="AX180" s="282">
        <f t="shared" si="130"/>
        <v>0.61091199740108848</v>
      </c>
      <c r="AY180" s="282">
        <f t="shared" si="130"/>
        <v>0.5839304144165709</v>
      </c>
      <c r="AZ180" s="282">
        <f t="shared" si="130"/>
        <v>0.5580728281739884</v>
      </c>
      <c r="BA180" s="282">
        <f t="shared" si="130"/>
        <v>0.53329702967692549</v>
      </c>
      <c r="BB180" s="282">
        <f t="shared" si="130"/>
        <v>0.50956206140913873</v>
      </c>
      <c r="BC180" s="282">
        <f t="shared" si="130"/>
        <v>0.48682820697951085</v>
      </c>
    </row>
    <row r="181" spans="2:55" s="192" customFormat="1" ht="16.899999999999999" customHeight="1" outlineLevel="1" x14ac:dyDescent="0.25">
      <c r="B181" s="275" t="s">
        <v>368</v>
      </c>
      <c r="C181" s="282">
        <f>C180</f>
        <v>12.258726463285484</v>
      </c>
      <c r="D181" s="285">
        <f t="shared" ref="D181" si="131">C181+D180</f>
        <v>19.123987037321434</v>
      </c>
      <c r="E181" s="285">
        <f t="shared" ref="E181" si="132">D181+E180</f>
        <v>21.040572235846753</v>
      </c>
      <c r="F181" s="285">
        <f t="shared" ref="F181" si="133">E181+F180</f>
        <v>12.684954426283253</v>
      </c>
      <c r="G181" s="285">
        <f t="shared" ref="G181" si="134">F181+G180</f>
        <v>5.1766352178709258</v>
      </c>
      <c r="H181" s="285">
        <f t="shared" ref="H181" si="135">G181+H180</f>
        <v>-1.5535515316175186</v>
      </c>
      <c r="I181" s="285">
        <f t="shared" ref="I181" si="136">H181+I180</f>
        <v>-7.5696542219965925</v>
      </c>
      <c r="J181" s="285">
        <f t="shared" ref="J181" si="137">I181+J180</f>
        <v>-12.930961477749296</v>
      </c>
      <c r="K181" s="285">
        <f t="shared" ref="K181" si="138">J181+K180</f>
        <v>-17.692335971974742</v>
      </c>
      <c r="L181" s="285">
        <f t="shared" ref="L181" si="139">K181+L180</f>
        <v>-21.904525694570417</v>
      </c>
      <c r="M181" s="285">
        <f t="shared" ref="M181" si="140">L181+M180</f>
        <v>-25.61445414959552</v>
      </c>
      <c r="N181" s="285">
        <f t="shared" ref="N181" si="141">M181+N180</f>
        <v>-28.865490870853893</v>
      </c>
      <c r="O181" s="285">
        <f t="shared" ref="O181" si="142">N181+O180</f>
        <v>-31.697703554931103</v>
      </c>
      <c r="P181" s="285">
        <f t="shared" ref="P181" si="143">O181+P180</f>
        <v>-34.148093026836982</v>
      </c>
      <c r="Q181" s="285">
        <f t="shared" ref="Q181" si="144">P181+Q180</f>
        <v>-36.250812174681116</v>
      </c>
      <c r="R181" s="285">
        <f t="shared" ref="R181" si="145">Q181+R180</f>
        <v>-38.037369916108211</v>
      </c>
      <c r="S181" s="285">
        <f t="shared" ref="S181" si="146">R181+S180</f>
        <v>-39.536821190224842</v>
      </c>
      <c r="T181" s="285">
        <f t="shared" ref="T181" si="147">S181+T180</f>
        <v>-40.775943904163221</v>
      </c>
      <c r="U181" s="285">
        <f t="shared" ref="U181" si="148">T181+U180</f>
        <v>-41.779403702972246</v>
      </c>
      <c r="V181" s="285">
        <f t="shared" ref="V181" si="149">U181+V180</f>
        <v>-42.569907374940676</v>
      </c>
      <c r="W181" s="285">
        <f t="shared" ref="W181" si="150">V181+W180</f>
        <v>-43.168345651497184</v>
      </c>
      <c r="X181" s="285">
        <f t="shared" ref="X181" si="151">W181+X180</f>
        <v>-43.593926111267727</v>
      </c>
      <c r="Y181" s="285">
        <f t="shared" ref="Y181" si="152">X181+Y180</f>
        <v>-43.864296851487879</v>
      </c>
      <c r="Z181" s="285">
        <f t="shared" ref="Z181" si="153">Y181+Z180</f>
        <v>-42.1380933472701</v>
      </c>
      <c r="AA181" s="285">
        <f t="shared" ref="AA181" si="154">Z181+AA180</f>
        <v>-40.481458393103935</v>
      </c>
      <c r="AB181" s="285">
        <f t="shared" ref="AB181" si="155">AA181+AB180</f>
        <v>-38.891948778749203</v>
      </c>
      <c r="AC181" s="285">
        <f t="shared" ref="AC181" si="156">AB181+AC180</f>
        <v>-37.367180159815106</v>
      </c>
      <c r="AD181" s="285">
        <f t="shared" ref="AD181" si="157">AC181+AD180</f>
        <v>-35.904827949429354</v>
      </c>
      <c r="AE181" s="285">
        <f t="shared" ref="AE181" si="158">AD181+AE180</f>
        <v>-34.502627934689421</v>
      </c>
      <c r="AF181" s="285">
        <f t="shared" ref="AF181" si="159">AE181+AF180</f>
        <v>-33.158376645441578</v>
      </c>
      <c r="AG181" s="285">
        <f t="shared" ref="AG181" si="160">AF181+AG180</f>
        <v>-31.869931500736467</v>
      </c>
      <c r="AH181" s="285">
        <f t="shared" ref="AH181" si="161">AG181+AH180</f>
        <v>-30.635210756271377</v>
      </c>
      <c r="AI181" s="285">
        <f t="shared" ref="AI181" si="162">AH181+AI180</f>
        <v>-29.452193274238528</v>
      </c>
      <c r="AJ181" s="285">
        <f t="shared" ref="AJ181" si="163">AI181+AJ180</f>
        <v>-28.318918135245166</v>
      </c>
      <c r="AK181" s="285">
        <f t="shared" ref="AK181" si="164">AJ181+AK180</f>
        <v>-27.233484110345959</v>
      </c>
      <c r="AL181" s="285">
        <f t="shared" ref="AL181" si="165">AK181+AL180</f>
        <v>-26.194049009722125</v>
      </c>
      <c r="AM181" s="285">
        <f t="shared" ref="AM181" si="166">AL181+AM180</f>
        <v>-25.198828923146852</v>
      </c>
      <c r="AN181" s="285">
        <f t="shared" ref="AN181" si="167">AM181+AN180</f>
        <v>-24.246097366084978</v>
      </c>
      <c r="AO181" s="285">
        <f t="shared" ref="AO181" si="168">AN181+AO180</f>
        <v>-23.334184344079755</v>
      </c>
      <c r="AP181" s="285">
        <f t="shared" ref="AP181" si="169">AO181+AP180</f>
        <v>-22.461475346973842</v>
      </c>
      <c r="AQ181" s="285">
        <f t="shared" ref="AQ181" si="170">AP181+AQ180</f>
        <v>-21.626410283489331</v>
      </c>
      <c r="AR181" s="285">
        <f t="shared" ref="AR181" si="171">AQ181+AR180</f>
        <v>-20.827482365746921</v>
      </c>
      <c r="AS181" s="285">
        <f t="shared" ref="AS181" si="172">AR181+AS180</f>
        <v>-20.063236952431549</v>
      </c>
      <c r="AT181" s="285">
        <f t="shared" ref="AT181" si="173">AS181+AT180</f>
        <v>-19.3322703585062</v>
      </c>
      <c r="AU181" s="285">
        <f t="shared" ref="AU181" si="174">AT181+AU180</f>
        <v>-18.633228638632115</v>
      </c>
      <c r="AV181" s="285">
        <f t="shared" ref="AV181" si="175">AU181+AV180</f>
        <v>-17.964806350768114</v>
      </c>
      <c r="AW181" s="285">
        <f t="shared" ref="AW181" si="176">AV181+AW180</f>
        <v>-17.325745305789983</v>
      </c>
      <c r="AX181" s="285">
        <f t="shared" ref="AX181" si="177">AW181+AX180</f>
        <v>-16.714833308388894</v>
      </c>
      <c r="AY181" s="285">
        <f t="shared" ref="AY181" si="178">AX181+AY180</f>
        <v>-16.130902893972323</v>
      </c>
      <c r="AZ181" s="285">
        <f t="shared" ref="AZ181" si="179">AY181+AZ180</f>
        <v>-15.572830065798334</v>
      </c>
      <c r="BA181" s="285">
        <f t="shared" ref="BA181" si="180">AZ181+BA180</f>
        <v>-15.039533036121409</v>
      </c>
      <c r="BB181" s="285">
        <f t="shared" ref="BB181" si="181">BA181+BB180</f>
        <v>-14.529970974712271</v>
      </c>
      <c r="BC181" s="285">
        <f t="shared" ref="BC181" si="182">BB181+BC180</f>
        <v>-14.04314276773276</v>
      </c>
    </row>
    <row r="182" spans="2:55" s="192" customFormat="1" ht="16.899999999999999" customHeight="1" outlineLevel="1" x14ac:dyDescent="0.25">
      <c r="B182" s="275" t="s">
        <v>369</v>
      </c>
      <c r="C182" s="282">
        <f t="shared" ref="C182:AH182" si="183">C167/(1+$C$28)^C32</f>
        <v>40.171251929347434</v>
      </c>
      <c r="D182" s="282">
        <f t="shared" si="183"/>
        <v>43.807539221612458</v>
      </c>
      <c r="E182" s="282">
        <f t="shared" si="183"/>
        <v>46.103892121513169</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1.2343853443533517</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0.99999999999999156</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0.26309959438654507</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F155" sqref="F155"/>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2" t="str">
        <f>'R&amp;C-Painel de Controle'!G2</f>
        <v>CIRSOP - Consórcio RSU Oeste Paulista</v>
      </c>
      <c r="D2" s="2103"/>
      <c r="E2" s="2103"/>
      <c r="F2" s="2103"/>
      <c r="G2" s="2103"/>
      <c r="H2" s="2104"/>
      <c r="I2" s="749"/>
    </row>
    <row r="3" spans="1:60" ht="4.9000000000000004" customHeight="1" thickTop="1" thickBot="1" x14ac:dyDescent="0.3"/>
    <row r="4" spans="1:60" ht="19.5" thickTop="1" x14ac:dyDescent="0.25">
      <c r="B4" s="1640" t="str">
        <f>B104</f>
        <v>Quant. RSU (Ano 1)</v>
      </c>
      <c r="C4" s="1641">
        <f>C104</f>
        <v>467.94871794871796</v>
      </c>
      <c r="D4" s="1642" t="str">
        <f>D104</f>
        <v>t/d</v>
      </c>
      <c r="E4" s="1643"/>
      <c r="F4" s="1643"/>
      <c r="G4" s="1643"/>
      <c r="H4" s="1644"/>
      <c r="I4" s="749"/>
    </row>
    <row r="5" spans="1:60" ht="19.899999999999999" customHeight="1" x14ac:dyDescent="0.25">
      <c r="B5" s="1645" t="s">
        <v>1025</v>
      </c>
      <c r="C5" s="1646">
        <f>'R&amp;C-Painel de Controle'!D33</f>
        <v>237.54494967426146</v>
      </c>
      <c r="D5" s="1647" t="s">
        <v>293</v>
      </c>
      <c r="E5" s="1648"/>
      <c r="F5" s="1648"/>
      <c r="G5" s="1648"/>
      <c r="H5" s="1649"/>
      <c r="I5" s="749"/>
    </row>
    <row r="6" spans="1:60" ht="19.899999999999999" customHeight="1" x14ac:dyDescent="0.25">
      <c r="B6" s="1645" t="s">
        <v>1026</v>
      </c>
      <c r="C6" s="1646">
        <f>'R&amp;C-Painel de Controle'!H33</f>
        <v>254.60848243040007</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5" t="s">
        <v>998</v>
      </c>
      <c r="C10" s="2106"/>
      <c r="D10" s="2109" t="s">
        <v>993</v>
      </c>
      <c r="E10" s="2110"/>
      <c r="F10" s="2110"/>
      <c r="G10" s="2110"/>
      <c r="H10" s="2111"/>
      <c r="J10" s="1593" t="s">
        <v>995</v>
      </c>
      <c r="K10" s="1593" t="s">
        <v>993</v>
      </c>
      <c r="L10" s="1593" t="s">
        <v>996</v>
      </c>
      <c r="M10" s="1593" t="s">
        <v>994</v>
      </c>
    </row>
    <row r="11" spans="1:60" s="885" customFormat="1" ht="19.899999999999999" customHeight="1" thickBot="1" x14ac:dyDescent="0.3">
      <c r="B11" s="2107"/>
      <c r="C11" s="2108"/>
      <c r="D11" s="2112"/>
      <c r="E11" s="2113"/>
      <c r="F11" s="2113"/>
      <c r="G11" s="2113"/>
      <c r="H11" s="2114"/>
    </row>
    <row r="12" spans="1:60" ht="4.9000000000000004" customHeight="1" thickTop="1" thickBot="1" x14ac:dyDescent="0.3"/>
    <row r="13" spans="1:60" s="39" customFormat="1" ht="25.15" customHeight="1" collapsed="1" thickTop="1" thickBot="1" x14ac:dyDescent="0.3">
      <c r="B13" s="2119" t="s">
        <v>990</v>
      </c>
      <c r="C13" s="2120"/>
      <c r="D13" s="2120"/>
      <c r="E13" s="2120"/>
      <c r="F13" s="2120"/>
      <c r="G13" s="2120"/>
      <c r="H13" s="2121"/>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1"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1"/>
      <c r="B16" s="1548" t="str">
        <f>'C-FCL Real'!B35</f>
        <v>Dados Quantitativos RSU</v>
      </c>
      <c r="C16" s="1562">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37.380081260138844</v>
      </c>
      <c r="B18" s="1549" t="str">
        <f>'C-FCL Real'!B63</f>
        <v>Dados de Capex</v>
      </c>
      <c r="C18" s="1564">
        <f>SUMIF($D$15:$BG$15,1,D18:BG18)</f>
        <v>205.38278905364507</v>
      </c>
      <c r="D18" s="1559">
        <f>'C-FCL Real'!C63</f>
        <v>57.387502756210623</v>
      </c>
      <c r="E18" s="48">
        <f>'C-FCL Real'!D63</f>
        <v>68.677705059710732</v>
      </c>
      <c r="F18" s="48">
        <f>'C-FCL Real'!E63</f>
        <v>79.317581237723729</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34.062403189483177</v>
      </c>
      <c r="B19" s="1598" t="s">
        <v>914</v>
      </c>
      <c r="C19" s="1563">
        <f>SUMIF($D$15:$BG$15,1,D19:BG19)</f>
        <v>187.15399038968934</v>
      </c>
      <c r="D19" s="1559">
        <f t="shared" ref="D19:AJ19" si="0">NPV($C$8,D18:D18)</f>
        <v>52.294061195745059</v>
      </c>
      <c r="E19" s="48">
        <f t="shared" si="0"/>
        <v>62.5821988880178</v>
      </c>
      <c r="F19" s="48">
        <f t="shared" si="0"/>
        <v>72.277730305926497</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565">
        <f>C18*1000000/(C16/C43)</f>
        <v>1308.3028441048596</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167.15915263002279</v>
      </c>
      <c r="B21" s="1549" t="str">
        <f>'C-FCL Real'!B119</f>
        <v>Dados de Opex + Gestão do Contrato</v>
      </c>
      <c r="C21" s="1564">
        <f>SUMIF($D$15:$BG$15,1,D21:BG21)</f>
        <v>918.44671883066189</v>
      </c>
      <c r="D21" s="1559">
        <f>'C-FCL Real'!C119</f>
        <v>3.9460975</v>
      </c>
      <c r="E21" s="48">
        <f>'C-FCL Real'!D119</f>
        <v>3.9460975</v>
      </c>
      <c r="F21" s="48">
        <f>'C-FCL Real'!E119</f>
        <v>3.9460975</v>
      </c>
      <c r="G21" s="48">
        <f>'C-FCL Real'!F119</f>
        <v>28.331513322833175</v>
      </c>
      <c r="H21" s="48">
        <f>'C-FCL Real'!G119</f>
        <v>28.331513322833175</v>
      </c>
      <c r="I21" s="48">
        <f>'C-FCL Real'!H119</f>
        <v>28.331513322833175</v>
      </c>
      <c r="J21" s="48">
        <f>'C-FCL Real'!I119</f>
        <v>28.331513322833175</v>
      </c>
      <c r="K21" s="48">
        <f>'C-FCL Real'!J119</f>
        <v>28.331513322833175</v>
      </c>
      <c r="L21" s="48">
        <f>'C-FCL Real'!K119</f>
        <v>28.331513322833175</v>
      </c>
      <c r="M21" s="48">
        <f>'C-FCL Real'!L119</f>
        <v>28.331513322833175</v>
      </c>
      <c r="N21" s="48">
        <f>'C-FCL Real'!M119</f>
        <v>28.331513322833175</v>
      </c>
      <c r="O21" s="48">
        <f>'C-FCL Real'!N119</f>
        <v>28.331513322833175</v>
      </c>
      <c r="P21" s="48">
        <f>'C-FCL Real'!O119</f>
        <v>28.331513322833175</v>
      </c>
      <c r="Q21" s="48">
        <f>'C-FCL Real'!P119</f>
        <v>28.331513322833175</v>
      </c>
      <c r="R21" s="48">
        <f>'C-FCL Real'!Q119</f>
        <v>28.331513322833175</v>
      </c>
      <c r="S21" s="48">
        <f>'C-FCL Real'!O119</f>
        <v>28.331513322833175</v>
      </c>
      <c r="T21" s="48">
        <f>'C-FCL Real'!P119</f>
        <v>28.331513322833175</v>
      </c>
      <c r="U21" s="48">
        <f>'C-FCL Real'!Q119</f>
        <v>28.331513322833175</v>
      </c>
      <c r="V21" s="48">
        <f>'C-FCL Real'!R119</f>
        <v>28.331513322833175</v>
      </c>
      <c r="W21" s="48">
        <f>'C-FCL Real'!S119</f>
        <v>28.331513322833175</v>
      </c>
      <c r="X21" s="48">
        <f>'C-FCL Real'!T119</f>
        <v>28.331513322833175</v>
      </c>
      <c r="Y21" s="48">
        <f>'C-FCL Real'!U119</f>
        <v>28.331513322833175</v>
      </c>
      <c r="Z21" s="48">
        <f>'C-FCL Real'!V119</f>
        <v>28.331513322833175</v>
      </c>
      <c r="AA21" s="48">
        <f>'C-FCL Real'!W119</f>
        <v>28.331513322833175</v>
      </c>
      <c r="AB21" s="48">
        <f>'C-FCL Real'!X119</f>
        <v>28.331513322833175</v>
      </c>
      <c r="AC21" s="48">
        <f>'C-FCL Real'!Y119</f>
        <v>28.331513322833175</v>
      </c>
      <c r="AD21" s="48">
        <f>'C-FCL Real'!Z119</f>
        <v>28.331513322833175</v>
      </c>
      <c r="AE21" s="48">
        <f>'C-FCL Real'!AA119</f>
        <v>28.331513322833175</v>
      </c>
      <c r="AF21" s="48">
        <f>'C-FCL Real'!AB119</f>
        <v>28.331513322833175</v>
      </c>
      <c r="AG21" s="48">
        <f>'C-FCL Real'!AC119</f>
        <v>28.331513322833175</v>
      </c>
      <c r="AH21" s="48">
        <f>'C-FCL Real'!AD119</f>
        <v>28.331513322833175</v>
      </c>
      <c r="AI21" s="48">
        <f>'C-FCL Real'!AE119</f>
        <v>28.331513322833175</v>
      </c>
      <c r="AJ21" s="48">
        <f>'C-FCL Real'!AF119</f>
        <v>28.331513322833175</v>
      </c>
      <c r="AK21" s="48">
        <f>'C-FCL Real'!AG119</f>
        <v>28.331513322833175</v>
      </c>
      <c r="AL21" s="48">
        <f>'C-FCL Real'!AH119</f>
        <v>28.331513322833175</v>
      </c>
      <c r="AM21" s="48">
        <f>'C-FCL Real'!AI119</f>
        <v>28.331513322833175</v>
      </c>
      <c r="AN21" s="48">
        <f>'C-FCL Real'!AJ119</f>
        <v>28.331513322833175</v>
      </c>
      <c r="AO21" s="48">
        <f>'C-FCL Real'!AK119</f>
        <v>28.331513322833175</v>
      </c>
      <c r="AP21" s="48">
        <f>'C-FCL Real'!AL119</f>
        <v>28.331513322833175</v>
      </c>
      <c r="AQ21" s="48">
        <f>'C-FCL Real'!AM119</f>
        <v>28.331513322833175</v>
      </c>
      <c r="AR21" s="48">
        <f>'C-FCL Real'!AN119</f>
        <v>28.331513322833175</v>
      </c>
      <c r="AS21" s="48">
        <f>'C-FCL Real'!AO119</f>
        <v>28.331513322833175</v>
      </c>
      <c r="AT21" s="48">
        <f>'C-FCL Real'!AP119</f>
        <v>28.331513322833175</v>
      </c>
      <c r="AU21" s="48">
        <f>'C-FCL Real'!AQ119</f>
        <v>28.331513322833175</v>
      </c>
      <c r="AV21" s="48">
        <f>'C-FCL Real'!AR119</f>
        <v>28.331513322833175</v>
      </c>
      <c r="AW21" s="48">
        <f>'C-FCL Real'!AS119</f>
        <v>28.331513322833175</v>
      </c>
      <c r="AX21" s="48">
        <f>'C-FCL Real'!AT119</f>
        <v>28.331513322833175</v>
      </c>
      <c r="AY21" s="48">
        <f>'C-FCL Real'!AU119</f>
        <v>28.331513322833175</v>
      </c>
      <c r="AZ21" s="48">
        <f>'C-FCL Real'!AV119</f>
        <v>28.331513322833175</v>
      </c>
      <c r="BA21" s="48">
        <f>'C-FCL Real'!AW119</f>
        <v>28.331513322833175</v>
      </c>
      <c r="BB21" s="48">
        <f>'C-FCL Real'!AX119</f>
        <v>28.331513322833175</v>
      </c>
      <c r="BC21" s="48">
        <f>'C-FCL Real'!AY119</f>
        <v>28.331513322833175</v>
      </c>
      <c r="BD21" s="48">
        <f>'C-FCL Real'!AZ119</f>
        <v>28.331513322833175</v>
      </c>
      <c r="BE21" s="48">
        <f>'C-FCL Real'!BA119</f>
        <v>28.331513322833175</v>
      </c>
      <c r="BF21" s="48">
        <f>'C-FCL Real'!BB119</f>
        <v>28.331513322833175</v>
      </c>
      <c r="BG21" s="48">
        <f>'C-FCL Real'!BC119</f>
        <v>28.331513322833175</v>
      </c>
      <c r="BH21" s="48">
        <f>'C-FCL Real'!BD119</f>
        <v>0</v>
      </c>
    </row>
    <row r="22" spans="1:60" ht="15" hidden="1" customHeight="1" outlineLevel="1" x14ac:dyDescent="0.25">
      <c r="A22" s="1576">
        <f>C22*1000000/$C$16</f>
        <v>142.92543070714424</v>
      </c>
      <c r="B22" s="1598" t="s">
        <v>915</v>
      </c>
      <c r="C22" s="1563">
        <f>SUMIF($D$15:$BG$15,1,D22:BG22)</f>
        <v>785.2958740523012</v>
      </c>
      <c r="D22" s="1559">
        <f t="shared" ref="D22:AJ22" si="1">NPV($C$8,D21:D21)</f>
        <v>3.595860670676144</v>
      </c>
      <c r="E22" s="48">
        <f t="shared" si="1"/>
        <v>3.595860670676144</v>
      </c>
      <c r="F22" s="48">
        <f t="shared" si="1"/>
        <v>3.595860670676144</v>
      </c>
      <c r="G22" s="48">
        <f t="shared" si="1"/>
        <v>25.816943068009092</v>
      </c>
      <c r="H22" s="48">
        <f t="shared" si="1"/>
        <v>25.816943068009092</v>
      </c>
      <c r="I22" s="48">
        <f t="shared" si="1"/>
        <v>25.816943068009092</v>
      </c>
      <c r="J22" s="48">
        <f t="shared" si="1"/>
        <v>25.816943068009092</v>
      </c>
      <c r="K22" s="48">
        <f t="shared" si="1"/>
        <v>25.816943068009092</v>
      </c>
      <c r="L22" s="48">
        <f t="shared" si="1"/>
        <v>25.816943068009092</v>
      </c>
      <c r="M22" s="48">
        <f t="shared" si="1"/>
        <v>25.816943068009092</v>
      </c>
      <c r="N22" s="48">
        <f t="shared" si="1"/>
        <v>25.816943068009092</v>
      </c>
      <c r="O22" s="48">
        <f t="shared" si="1"/>
        <v>25.816943068009092</v>
      </c>
      <c r="P22" s="48">
        <f t="shared" si="1"/>
        <v>25.816943068009092</v>
      </c>
      <c r="Q22" s="48">
        <f t="shared" si="1"/>
        <v>25.816943068009092</v>
      </c>
      <c r="R22" s="48">
        <f t="shared" si="1"/>
        <v>25.816943068009092</v>
      </c>
      <c r="S22" s="48">
        <f t="shared" si="1"/>
        <v>25.816943068009092</v>
      </c>
      <c r="T22" s="48">
        <f t="shared" si="1"/>
        <v>25.816943068009092</v>
      </c>
      <c r="U22" s="48">
        <f t="shared" si="1"/>
        <v>25.816943068009092</v>
      </c>
      <c r="V22" s="48">
        <f t="shared" si="1"/>
        <v>25.816943068009092</v>
      </c>
      <c r="W22" s="48">
        <f t="shared" si="1"/>
        <v>25.816943068009092</v>
      </c>
      <c r="X22" s="48">
        <f t="shared" si="1"/>
        <v>25.816943068009092</v>
      </c>
      <c r="Y22" s="48">
        <f t="shared" si="1"/>
        <v>25.816943068009092</v>
      </c>
      <c r="Z22" s="48">
        <f t="shared" si="1"/>
        <v>25.816943068009092</v>
      </c>
      <c r="AA22" s="48">
        <f t="shared" si="1"/>
        <v>25.816943068009092</v>
      </c>
      <c r="AB22" s="48">
        <f t="shared" si="1"/>
        <v>25.816943068009092</v>
      </c>
      <c r="AC22" s="48">
        <f t="shared" si="1"/>
        <v>25.816943068009092</v>
      </c>
      <c r="AD22" s="48">
        <f t="shared" si="1"/>
        <v>25.816943068009092</v>
      </c>
      <c r="AE22" s="48">
        <f t="shared" si="1"/>
        <v>25.816943068009092</v>
      </c>
      <c r="AF22" s="48">
        <f t="shared" si="1"/>
        <v>25.816943068009092</v>
      </c>
      <c r="AG22" s="48">
        <f t="shared" si="1"/>
        <v>25.816943068009092</v>
      </c>
      <c r="AH22" s="48">
        <f t="shared" si="1"/>
        <v>25.816943068009092</v>
      </c>
      <c r="AI22" s="48">
        <f t="shared" si="1"/>
        <v>25.816943068009092</v>
      </c>
      <c r="AJ22" s="48">
        <f t="shared" si="1"/>
        <v>25.816943068009092</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543">
        <f>C21*1000000/C16</f>
        <v>167.15915263002279</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203.69479434567918</v>
      </c>
      <c r="B27" s="1549" t="str">
        <f>'C-FCL Real'!B148</f>
        <v>Dados de Receitas Diretas</v>
      </c>
      <c r="C27" s="1564">
        <f>SUMIF($D$15:$BG$15,1,D27:BG27)</f>
        <v>1119.1897815116963</v>
      </c>
      <c r="D27" s="1559">
        <f>'C-FCL Real'!C148-D30</f>
        <v>29.73943997446916</v>
      </c>
      <c r="E27" s="48">
        <f>'C-FCL Real'!D148-E30</f>
        <v>29.879215342349163</v>
      </c>
      <c r="F27" s="48">
        <f>'C-FCL Real'!E148-F30</f>
        <v>30.019647654458197</v>
      </c>
      <c r="G27" s="48">
        <f>'C-FCL Real'!F148-G30</f>
        <v>30.160739998434149</v>
      </c>
      <c r="H27" s="48">
        <f>'C-FCL Real'!G148-H30</f>
        <v>30.302495476426792</v>
      </c>
      <c r="I27" s="48">
        <f>'C-FCL Real'!H148-I30</f>
        <v>30.444917205165996</v>
      </c>
      <c r="J27" s="48">
        <f>'C-FCL Real'!I148-J30</f>
        <v>30.588008316030269</v>
      </c>
      <c r="K27" s="48">
        <f>'C-FCL Real'!J148-K30</f>
        <v>30.731771955115612</v>
      </c>
      <c r="L27" s="48">
        <f>'C-FCL Real'!K148-L30</f>
        <v>30.876211283304656</v>
      </c>
      <c r="M27" s="48">
        <f>'C-FCL Real'!L148-M30</f>
        <v>31.021329476336184</v>
      </c>
      <c r="N27" s="48">
        <f>'C-FCL Real'!M148-N30</f>
        <v>31.167129724874965</v>
      </c>
      <c r="O27" s="48">
        <f>'C-FCL Real'!N148-O30</f>
        <v>31.313615234581878</v>
      </c>
      <c r="P27" s="48">
        <f>'C-FCL Real'!O148-P30</f>
        <v>31.460789226184406</v>
      </c>
      <c r="Q27" s="48">
        <f>'C-FCL Real'!P148-Q30</f>
        <v>31.60865493554747</v>
      </c>
      <c r="R27" s="48">
        <f>'C-FCL Real'!Q148-R30</f>
        <v>31.757215613744538</v>
      </c>
      <c r="S27" s="48">
        <f>'C-FCL Real'!O148-S30</f>
        <v>31.460789226184406</v>
      </c>
      <c r="T27" s="48">
        <f>'C-FCL Real'!P148-T30</f>
        <v>31.60865493554747</v>
      </c>
      <c r="U27" s="48">
        <f>'C-FCL Real'!Q148-U30</f>
        <v>31.757215613744538</v>
      </c>
      <c r="V27" s="48">
        <f>'C-FCL Real'!R148-V30</f>
        <v>31.906474527129145</v>
      </c>
      <c r="W27" s="48">
        <f>'C-FCL Real'!S148-W30</f>
        <v>32.056434957406644</v>
      </c>
      <c r="X27" s="48">
        <f>'C-FCL Real'!T148-X30</f>
        <v>32.207100201706453</v>
      </c>
      <c r="Y27" s="48">
        <f>'C-FCL Real'!U148-Y30</f>
        <v>32.358473572654468</v>
      </c>
      <c r="Z27" s="48">
        <f>'C-FCL Real'!V148-Z30</f>
        <v>32.510558398445937</v>
      </c>
      <c r="AA27" s="48">
        <f>'C-FCL Real'!W148-AA30</f>
        <v>32.663358022918629</v>
      </c>
      <c r="AB27" s="48">
        <f>'C-FCL Real'!X148-AB30</f>
        <v>32.816875805626346</v>
      </c>
      <c r="AC27" s="48">
        <f>'C-FCL Real'!Y148-AC30</f>
        <v>32.971115121912781</v>
      </c>
      <c r="AD27" s="48">
        <f>'C-FCL Real'!Z148-AD30</f>
        <v>33.126079362985777</v>
      </c>
      <c r="AE27" s="48">
        <f>'C-FCL Real'!AA148-AE30</f>
        <v>33.281771935991799</v>
      </c>
      <c r="AF27" s="48">
        <f>'C-FCL Real'!AB148-AF30</f>
        <v>33.438196264090962</v>
      </c>
      <c r="AG27" s="48">
        <f>'C-FCL Real'!AC148-AG30</f>
        <v>33.595355786532188</v>
      </c>
      <c r="AH27" s="48">
        <f>'C-FCL Real'!AD148-AH30</f>
        <v>33.753253958728877</v>
      </c>
      <c r="AI27" s="48">
        <f>'C-FCL Real'!AE148-AI30</f>
        <v>33.911894252334911</v>
      </c>
      <c r="AJ27" s="48">
        <f>'C-FCL Real'!AF148-AJ30</f>
        <v>34.071280155320878</v>
      </c>
      <c r="AK27" s="48">
        <f>'C-FCL Real'!AG148-AK30</f>
        <v>34.231415172050887</v>
      </c>
      <c r="AL27" s="48">
        <f>'C-FCL Real'!AH148-AL30</f>
        <v>34.392302823359529</v>
      </c>
      <c r="AM27" s="48">
        <f>'C-FCL Real'!AI148-AM30</f>
        <v>34.553946646629306</v>
      </c>
      <c r="AN27" s="48">
        <f>'C-FCL Real'!AJ148-AN30</f>
        <v>34.716350195868465</v>
      </c>
      <c r="AO27" s="48">
        <f>'C-FCL Real'!AK148-AO30</f>
        <v>34.87951704178905</v>
      </c>
      <c r="AP27" s="48">
        <f>'C-FCL Real'!AL148-AP30</f>
        <v>35.043450771885446</v>
      </c>
      <c r="AQ27" s="48">
        <f>'C-FCL Real'!AM148-AQ30</f>
        <v>35.208154990513307</v>
      </c>
      <c r="AR27" s="48">
        <f>'C-FCL Real'!AN148-AR30</f>
        <v>35.373633318968729</v>
      </c>
      <c r="AS27" s="48">
        <f>'C-FCL Real'!AO148-AS30</f>
        <v>35.539889395567876</v>
      </c>
      <c r="AT27" s="48">
        <f>'C-FCL Real'!AP148-AT30</f>
        <v>35.706926875727042</v>
      </c>
      <c r="AU27" s="48">
        <f>'C-FCL Real'!AQ148-AU30</f>
        <v>35.874749432042947</v>
      </c>
      <c r="AV27" s="48">
        <f>'C-FCL Real'!AR148-AV30</f>
        <v>36.043360754373552</v>
      </c>
      <c r="AW27" s="48">
        <f>'C-FCL Real'!AS148-AW30</f>
        <v>36.212764549919108</v>
      </c>
      <c r="AX27" s="48">
        <f>'C-FCL Real'!AT148-AX30</f>
        <v>36.382964543303729</v>
      </c>
      <c r="AY27" s="48">
        <f>'C-FCL Real'!AU148-AY30</f>
        <v>36.553964476657249</v>
      </c>
      <c r="AZ27" s="48">
        <f>'C-FCL Real'!AV148-AZ30</f>
        <v>36.725768109697533</v>
      </c>
      <c r="BA27" s="48">
        <f>'C-FCL Real'!AW148-BA30</f>
        <v>36.898379219813116</v>
      </c>
      <c r="BB27" s="48">
        <f>'C-FCL Real'!AX148-BB30</f>
        <v>37.071801602146238</v>
      </c>
      <c r="BC27" s="48">
        <f>'C-FCL Real'!AY148-BC30</f>
        <v>37.246039069676314</v>
      </c>
      <c r="BD27" s="48">
        <f>'C-FCL Real'!AZ148-BD30</f>
        <v>37.421095453303799</v>
      </c>
      <c r="BE27" s="48">
        <f>'C-FCL Real'!BA148-BE30</f>
        <v>37.596974601934328</v>
      </c>
      <c r="BF27" s="48">
        <f>'C-FCL Real'!BB148-BF30</f>
        <v>37.77368038256342</v>
      </c>
      <c r="BG27" s="48">
        <f>'C-FCL Real'!BC148-BG30</f>
        <v>37.951216680361462</v>
      </c>
      <c r="BH27" s="48">
        <f>'C-FCL Real'!BD148-BH30</f>
        <v>0</v>
      </c>
    </row>
    <row r="28" spans="1:60" ht="15" hidden="1" customHeight="1" outlineLevel="1" x14ac:dyDescent="0.25">
      <c r="A28" s="1576">
        <f>C28*1000000/$C$16</f>
        <v>174.23468148216196</v>
      </c>
      <c r="B28" s="1598" t="s">
        <v>916</v>
      </c>
      <c r="C28" s="1563">
        <f>SUMIF($D$15:$BG$15,1,D28:BG28)</f>
        <v>957.32282077299567</v>
      </c>
      <c r="D28" s="1559">
        <f t="shared" ref="D28:AJ28" si="3">NPV($C$8,D27:D27)</f>
        <v>27.099908852259123</v>
      </c>
      <c r="E28" s="48">
        <f t="shared" si="3"/>
        <v>27.227278423864739</v>
      </c>
      <c r="F28" s="48">
        <f t="shared" si="3"/>
        <v>27.355246632456897</v>
      </c>
      <c r="G28" s="48">
        <f t="shared" si="3"/>
        <v>27.483816291629442</v>
      </c>
      <c r="H28" s="48">
        <f t="shared" si="3"/>
        <v>27.612990228200104</v>
      </c>
      <c r="I28" s="48">
        <f t="shared" si="3"/>
        <v>27.742771282272642</v>
      </c>
      <c r="J28" s="48">
        <f t="shared" si="3"/>
        <v>27.873162307299317</v>
      </c>
      <c r="K28" s="48">
        <f t="shared" si="3"/>
        <v>28.004166170143623</v>
      </c>
      <c r="L28" s="48">
        <f t="shared" si="3"/>
        <v>28.135785751143299</v>
      </c>
      <c r="M28" s="48">
        <f t="shared" si="3"/>
        <v>28.26802394417367</v>
      </c>
      <c r="N28" s="48">
        <f t="shared" si="3"/>
        <v>28.400883656711287</v>
      </c>
      <c r="O28" s="48">
        <f t="shared" si="3"/>
        <v>28.53436780989783</v>
      </c>
      <c r="P28" s="48">
        <f t="shared" si="3"/>
        <v>28.668479338604346</v>
      </c>
      <c r="Q28" s="48">
        <f t="shared" si="3"/>
        <v>28.803221191495783</v>
      </c>
      <c r="R28" s="48">
        <f t="shared" si="3"/>
        <v>28.938596331095809</v>
      </c>
      <c r="S28" s="48">
        <f t="shared" si="3"/>
        <v>28.668479338604346</v>
      </c>
      <c r="T28" s="48">
        <f t="shared" si="3"/>
        <v>28.803221191495783</v>
      </c>
      <c r="U28" s="48">
        <f t="shared" si="3"/>
        <v>28.938596331095809</v>
      </c>
      <c r="V28" s="48">
        <f t="shared" si="3"/>
        <v>29.074607733851966</v>
      </c>
      <c r="W28" s="48">
        <f t="shared" si="3"/>
        <v>29.211258390201063</v>
      </c>
      <c r="X28" s="48">
        <f t="shared" si="3"/>
        <v>29.348551304635006</v>
      </c>
      <c r="Y28" s="48">
        <f t="shared" si="3"/>
        <v>29.486489495766786</v>
      </c>
      <c r="Z28" s="48">
        <f t="shared" si="3"/>
        <v>29.625075996396884</v>
      </c>
      <c r="AA28" s="48">
        <f t="shared" si="3"/>
        <v>29.764313853579946</v>
      </c>
      <c r="AB28" s="48">
        <f t="shared" si="3"/>
        <v>29.904206128691769</v>
      </c>
      <c r="AC28" s="48">
        <f t="shared" si="3"/>
        <v>30.044755897496614</v>
      </c>
      <c r="AD28" s="48">
        <f t="shared" si="3"/>
        <v>30.185966250214854</v>
      </c>
      <c r="AE28" s="48">
        <f t="shared" si="3"/>
        <v>30.327840291590853</v>
      </c>
      <c r="AF28" s="48">
        <f t="shared" si="3"/>
        <v>30.470381140961329</v>
      </c>
      <c r="AG28" s="48">
        <f t="shared" si="3"/>
        <v>30.613591932323846</v>
      </c>
      <c r="AH28" s="48">
        <f t="shared" si="3"/>
        <v>30.757475814405758</v>
      </c>
      <c r="AI28" s="48">
        <f t="shared" si="3"/>
        <v>30.902035950733474</v>
      </c>
      <c r="AJ28" s="48">
        <f t="shared" si="3"/>
        <v>31.047275519701913</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10.584697481333817</v>
      </c>
      <c r="B30" s="1549" t="str">
        <f>'C-FCL Real'!B149</f>
        <v>Receita do Ente Público pela disposição do RPU</v>
      </c>
      <c r="C30" s="1564">
        <f>SUMIF($D$15:$BG$15,1,D30:BG30)</f>
        <v>58.157034889157352</v>
      </c>
      <c r="D30" s="1559">
        <f>'C-FCL Real'!C149</f>
        <v>1.5453658322747372</v>
      </c>
      <c r="E30" s="48">
        <f>'C-FCL Real'!D149</f>
        <v>1.5526290516864283</v>
      </c>
      <c r="F30" s="48">
        <f>'C-FCL Real'!E149</f>
        <v>1.5599264082293545</v>
      </c>
      <c r="G30" s="48">
        <f>'C-FCL Real'!F149</f>
        <v>1.5672580623480323</v>
      </c>
      <c r="H30" s="48">
        <f>'C-FCL Real'!G149</f>
        <v>1.5746241752410679</v>
      </c>
      <c r="I30" s="48">
        <f>'C-FCL Real'!H149</f>
        <v>1.5820249088647007</v>
      </c>
      <c r="J30" s="48">
        <f>'C-FCL Real'!I149</f>
        <v>1.5894604259363647</v>
      </c>
      <c r="K30" s="48">
        <f>'C-FCL Real'!J149</f>
        <v>1.5969308899382655</v>
      </c>
      <c r="L30" s="48">
        <f>'C-FCL Real'!K149</f>
        <v>1.6044364651209753</v>
      </c>
      <c r="M30" s="48">
        <f>'C-FCL Real'!L149</f>
        <v>1.6119773165070437</v>
      </c>
      <c r="N30" s="48">
        <f>'C-FCL Real'!M149</f>
        <v>1.6195536098946266</v>
      </c>
      <c r="O30" s="48">
        <f>'C-FCL Real'!N149</f>
        <v>1.6271655118611312</v>
      </c>
      <c r="P30" s="48">
        <f>'C-FCL Real'!O149</f>
        <v>1.6348131897668785</v>
      </c>
      <c r="Q30" s="48">
        <f>'C-FCL Real'!P149</f>
        <v>1.6424968117587828</v>
      </c>
      <c r="R30" s="48">
        <f>'C-FCL Real'!Q149</f>
        <v>1.6502165467740491</v>
      </c>
      <c r="S30" s="48">
        <f>'C-FCL Real'!O149</f>
        <v>1.6348131897668785</v>
      </c>
      <c r="T30" s="48">
        <f>'C-FCL Real'!P149</f>
        <v>1.6424968117587828</v>
      </c>
      <c r="U30" s="48">
        <f>'C-FCL Real'!Q149</f>
        <v>1.6502165467740491</v>
      </c>
      <c r="V30" s="48">
        <f>'C-FCL Real'!R149</f>
        <v>1.657972564543887</v>
      </c>
      <c r="W30" s="48">
        <f>'C-FCL Real'!S149</f>
        <v>1.6657650355972431</v>
      </c>
      <c r="X30" s="48">
        <f>'C-FCL Real'!T149</f>
        <v>1.6735941312645499</v>
      </c>
      <c r="Y30" s="48">
        <f>'C-FCL Real'!U149</f>
        <v>1.6814600236814932</v>
      </c>
      <c r="Z30" s="48">
        <f>'C-FCL Real'!V149</f>
        <v>1.689362885792796</v>
      </c>
      <c r="AA30" s="48">
        <f>'C-FCL Real'!W149</f>
        <v>1.697302891356022</v>
      </c>
      <c r="AB30" s="48">
        <f>'C-FCL Real'!X149</f>
        <v>1.7052802149453952</v>
      </c>
      <c r="AC30" s="48">
        <f>'C-FCL Real'!Y149</f>
        <v>1.7132950319556384</v>
      </c>
      <c r="AD30" s="48">
        <f>'C-FCL Real'!Z149</f>
        <v>1.7213475186058298</v>
      </c>
      <c r="AE30" s="48">
        <f>'C-FCL Real'!AA149</f>
        <v>1.7294378519432771</v>
      </c>
      <c r="AF30" s="48">
        <f>'C-FCL Real'!AB149</f>
        <v>1.7375662098474105</v>
      </c>
      <c r="AG30" s="48">
        <f>'C-FCL Real'!AC149</f>
        <v>1.7457327710336932</v>
      </c>
      <c r="AH30" s="48">
        <f>'C-FCL Real'!AD149</f>
        <v>1.7539377150575515</v>
      </c>
      <c r="AI30" s="48">
        <f>'C-FCL Real'!AE149</f>
        <v>1.7621812223183217</v>
      </c>
      <c r="AJ30" s="48">
        <f>'C-FCL Real'!AF149</f>
        <v>1.7704634740632177</v>
      </c>
      <c r="AK30" s="48">
        <f>'C-FCL Real'!AG149</f>
        <v>1.7787846523913147</v>
      </c>
      <c r="AL30" s="48">
        <f>'C-FCL Real'!AH149</f>
        <v>1.7871449402575537</v>
      </c>
      <c r="AM30" s="48">
        <f>'C-FCL Real'!AI149</f>
        <v>1.795544521476764</v>
      </c>
      <c r="AN30" s="48">
        <f>'C-FCL Real'!AJ149</f>
        <v>1.8039835807277047</v>
      </c>
      <c r="AO30" s="48">
        <f>'C-FCL Real'!AK149</f>
        <v>1.8124623035571248</v>
      </c>
      <c r="AP30" s="48">
        <f>'C-FCL Real'!AL149</f>
        <v>1.8209808763838431</v>
      </c>
      <c r="AQ30" s="48">
        <f>'C-FCL Real'!AM149</f>
        <v>1.8295394865028469</v>
      </c>
      <c r="AR30" s="48">
        <f>'C-FCL Real'!AN149</f>
        <v>1.8381383220894101</v>
      </c>
      <c r="AS30" s="48">
        <f>'C-FCL Real'!AO149</f>
        <v>1.8467775722032302</v>
      </c>
      <c r="AT30" s="48">
        <f>'C-FCL Real'!AP149</f>
        <v>1.8554574267925852</v>
      </c>
      <c r="AU30" s="48">
        <f>'C-FCL Real'!AQ149</f>
        <v>1.8641780766985101</v>
      </c>
      <c r="AV30" s="48">
        <f>'C-FCL Real'!AR149</f>
        <v>1.8729397136589929</v>
      </c>
      <c r="AW30" s="48">
        <f>'C-FCL Real'!AS149</f>
        <v>1.8817425303131901</v>
      </c>
      <c r="AX30" s="48">
        <f>'C-FCL Real'!AT149</f>
        <v>1.8905867202056619</v>
      </c>
      <c r="AY30" s="48">
        <f>'C-FCL Real'!AU149</f>
        <v>1.8994724777906284</v>
      </c>
      <c r="AZ30" s="48">
        <f>'C-FCL Real'!AV149</f>
        <v>1.9083999984362443</v>
      </c>
      <c r="BA30" s="48">
        <f>'C-FCL Real'!AW149</f>
        <v>1.9173694784288946</v>
      </c>
      <c r="BB30" s="48">
        <f>'C-FCL Real'!AX149</f>
        <v>1.9263811149775103</v>
      </c>
      <c r="BC30" s="48">
        <f>'C-FCL Real'!AY149</f>
        <v>1.9354351062179045</v>
      </c>
      <c r="BD30" s="48">
        <f>'C-FCL Real'!AZ149</f>
        <v>1.9445316512171285</v>
      </c>
      <c r="BE30" s="48">
        <f>'C-FCL Real'!BA149</f>
        <v>1.9536709499778488</v>
      </c>
      <c r="BF30" s="48">
        <f>'C-FCL Real'!BB149</f>
        <v>1.9628532034427446</v>
      </c>
      <c r="BG30" s="48">
        <f>'C-FCL Real'!BC149</f>
        <v>1.9720786134989254</v>
      </c>
      <c r="BH30" s="48">
        <f>'C-FCL Real'!BD149</f>
        <v>0</v>
      </c>
    </row>
    <row r="31" spans="1:60" ht="15" hidden="1" customHeight="1" outlineLevel="1" x14ac:dyDescent="0.25">
      <c r="A31" s="1576">
        <f>C31*1000000/$C$16</f>
        <v>9.0538464675514163</v>
      </c>
      <c r="B31" s="1598" t="s">
        <v>917</v>
      </c>
      <c r="C31" s="1563">
        <f>SUMIF($D$15:$BG$15,1,D31:BG31)</f>
        <v>49.745858662756035</v>
      </c>
      <c r="D31" s="1559">
        <f t="shared" ref="D31:AJ31" si="4">NPV($C$8,D30:D30)</f>
        <v>1.4082065174728788</v>
      </c>
      <c r="E31" s="48">
        <f t="shared" si="4"/>
        <v>1.4148250881050013</v>
      </c>
      <c r="F31" s="48">
        <f t="shared" si="4"/>
        <v>1.4214747660190947</v>
      </c>
      <c r="G31" s="48">
        <f t="shared" si="4"/>
        <v>1.4281556974193843</v>
      </c>
      <c r="H31" s="48">
        <f t="shared" si="4"/>
        <v>1.4348680291972553</v>
      </c>
      <c r="I31" s="48">
        <f t="shared" si="4"/>
        <v>1.4416119089344823</v>
      </c>
      <c r="J31" s="48">
        <f t="shared" si="4"/>
        <v>1.4483874849064742</v>
      </c>
      <c r="K31" s="48">
        <f t="shared" si="4"/>
        <v>1.4551949060855345</v>
      </c>
      <c r="L31" s="48">
        <f t="shared" si="4"/>
        <v>1.4620343221441365</v>
      </c>
      <c r="M31" s="48">
        <f t="shared" si="4"/>
        <v>1.4689058834582138</v>
      </c>
      <c r="N31" s="48">
        <f t="shared" si="4"/>
        <v>1.4758097411104671</v>
      </c>
      <c r="O31" s="48">
        <f t="shared" si="4"/>
        <v>1.4827460468936864</v>
      </c>
      <c r="P31" s="48">
        <f t="shared" si="4"/>
        <v>1.4897149533140865</v>
      </c>
      <c r="Q31" s="48">
        <f t="shared" si="4"/>
        <v>1.4967166135946628</v>
      </c>
      <c r="R31" s="48">
        <f t="shared" si="4"/>
        <v>1.5037511816785576</v>
      </c>
      <c r="S31" s="48">
        <f t="shared" si="4"/>
        <v>1.4897149533140865</v>
      </c>
      <c r="T31" s="48">
        <f t="shared" si="4"/>
        <v>1.4967166135946628</v>
      </c>
      <c r="U31" s="48">
        <f t="shared" si="4"/>
        <v>1.5037511816785576</v>
      </c>
      <c r="V31" s="48">
        <f t="shared" si="4"/>
        <v>1.5108188122324469</v>
      </c>
      <c r="W31" s="48">
        <f t="shared" si="4"/>
        <v>1.5179196606499392</v>
      </c>
      <c r="X31" s="48">
        <f t="shared" si="4"/>
        <v>1.5250538830549936</v>
      </c>
      <c r="Y31" s="48">
        <f t="shared" si="4"/>
        <v>1.532221636305352</v>
      </c>
      <c r="Z31" s="48">
        <f t="shared" si="4"/>
        <v>1.539423077995987</v>
      </c>
      <c r="AA31" s="48">
        <f t="shared" si="4"/>
        <v>1.5466583664625679</v>
      </c>
      <c r="AB31" s="48">
        <f t="shared" si="4"/>
        <v>1.5539276607849419</v>
      </c>
      <c r="AC31" s="48">
        <f t="shared" si="4"/>
        <v>1.5612311207906311</v>
      </c>
      <c r="AD31" s="48">
        <f t="shared" si="4"/>
        <v>1.5685689070583468</v>
      </c>
      <c r="AE31" s="48">
        <f t="shared" si="4"/>
        <v>1.5759411809215211</v>
      </c>
      <c r="AF31" s="48">
        <f t="shared" si="4"/>
        <v>1.5833481044718523</v>
      </c>
      <c r="AG31" s="48">
        <f t="shared" si="4"/>
        <v>1.5907898405628698</v>
      </c>
      <c r="AH31" s="48">
        <f t="shared" si="4"/>
        <v>1.5982665528135152</v>
      </c>
      <c r="AI31" s="48">
        <f t="shared" si="4"/>
        <v>1.6057784056117386</v>
      </c>
      <c r="AJ31" s="48">
        <f t="shared" si="4"/>
        <v>1.6133255641181135</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9.7402579368513713</v>
      </c>
      <c r="B33" s="1549" t="s">
        <v>910</v>
      </c>
      <c r="C33" s="1564">
        <f>SUMIF($D$15:$BG$15,1,D33:BG33)</f>
        <v>53.517308516546734</v>
      </c>
      <c r="D33" s="1559">
        <f>'C-FCL Real'!C153</f>
        <v>-30.048794449466726</v>
      </c>
      <c r="E33" s="48">
        <f>'C-FCL Real'!D153</f>
        <v>-41.191958165675146</v>
      </c>
      <c r="F33" s="48">
        <f>'C-FCL Real'!E153</f>
        <v>-51.684104675036181</v>
      </c>
      <c r="G33" s="48">
        <f>'C-FCL Real'!F153</f>
        <v>3.396484737949006</v>
      </c>
      <c r="H33" s="48">
        <f>'C-FCL Real'!G153</f>
        <v>3.5456063288346868</v>
      </c>
      <c r="I33" s="48">
        <f>'C-FCL Real'!H153</f>
        <v>3.6954287911975214</v>
      </c>
      <c r="J33" s="48">
        <f>'C-FCL Real'!I153</f>
        <v>3.8459554191334604</v>
      </c>
      <c r="K33" s="48">
        <f>'C-FCL Real'!J153</f>
        <v>3.997189522220701</v>
      </c>
      <c r="L33" s="48">
        <f>'C-FCL Real'!K153</f>
        <v>4.1491344255924574</v>
      </c>
      <c r="M33" s="48">
        <f>'C-FCL Real'!L153</f>
        <v>4.301793470010054</v>
      </c>
      <c r="N33" s="48">
        <f>'C-FCL Real'!M153</f>
        <v>4.455170011936417</v>
      </c>
      <c r="O33" s="48">
        <f>'C-FCL Real'!N153</f>
        <v>4.6092674236098361</v>
      </c>
      <c r="P33" s="48">
        <f>'C-FCL Real'!O153</f>
        <v>4.764089093118109</v>
      </c>
      <c r="Q33" s="48">
        <f>'C-FCL Real'!P153</f>
        <v>4.919638424473078</v>
      </c>
      <c r="R33" s="48">
        <f>'C-FCL Real'!Q153</f>
        <v>5.0759188376854141</v>
      </c>
      <c r="S33" s="48">
        <f>'C-FCL Real'!O153</f>
        <v>4.764089093118109</v>
      </c>
      <c r="T33" s="48">
        <f>'C-FCL Real'!P153</f>
        <v>4.919638424473078</v>
      </c>
      <c r="U33" s="48">
        <f>'C-FCL Real'!Q153</f>
        <v>5.0759188376854141</v>
      </c>
      <c r="V33" s="48">
        <f>'C-FCL Real'!R153</f>
        <v>5.2329337688398567</v>
      </c>
      <c r="W33" s="48">
        <f>'C-FCL Real'!S153</f>
        <v>5.3906866701707159</v>
      </c>
      <c r="X33" s="48">
        <f>'C-FCL Real'!T153</f>
        <v>5.5491810101378292</v>
      </c>
      <c r="Y33" s="48">
        <f>'C-FCL Real'!U153</f>
        <v>5.7084202735027887</v>
      </c>
      <c r="Z33" s="48">
        <f>'C-FCL Real'!V153</f>
        <v>5.8684079614055591</v>
      </c>
      <c r="AA33" s="48">
        <f>'C-FCL Real'!W153</f>
        <v>6.0291475914414789</v>
      </c>
      <c r="AB33" s="48">
        <f>'C-FCL Real'!X153</f>
        <v>6.1906426977385678</v>
      </c>
      <c r="AC33" s="48">
        <f>'C-FCL Real'!Y153</f>
        <v>6.3528968310352454</v>
      </c>
      <c r="AD33" s="48">
        <f>'C-FCL Real'!Z153</f>
        <v>6.5159135587584345</v>
      </c>
      <c r="AE33" s="48">
        <f>'C-FCL Real'!AA153</f>
        <v>6.6796964651018982</v>
      </c>
      <c r="AF33" s="48">
        <f>'C-FCL Real'!AB153</f>
        <v>6.8442491511051955</v>
      </c>
      <c r="AG33" s="48">
        <f>'C-FCL Real'!AC153</f>
        <v>7.0095752347327078</v>
      </c>
      <c r="AH33" s="48">
        <f>'C-FCL Real'!AD153</f>
        <v>7.1756783509532553</v>
      </c>
      <c r="AI33" s="48">
        <f>'C-FCL Real'!AE153</f>
        <v>7.3425621518200543</v>
      </c>
      <c r="AJ33" s="48">
        <f>'C-FCL Real'!AF153</f>
        <v>7.5102303065509233</v>
      </c>
      <c r="AK33" s="48">
        <f>'C-FCL Real'!AG153</f>
        <v>7.6786865016090289</v>
      </c>
      <c r="AL33" s="48">
        <f>'C-FCL Real'!AH153</f>
        <v>7.8479344407839093</v>
      </c>
      <c r="AM33" s="48">
        <f>'C-FCL Real'!AI153</f>
        <v>8.0179778452728954</v>
      </c>
      <c r="AN33" s="48">
        <f>'C-FCL Real'!AJ153</f>
        <v>8.1888204537629932</v>
      </c>
      <c r="AO33" s="48">
        <f>'C-FCL Real'!AK153</f>
        <v>8.3604660225130019</v>
      </c>
      <c r="AP33" s="48">
        <f>'C-FCL Real'!AL153</f>
        <v>8.5329183254361141</v>
      </c>
      <c r="AQ33" s="48">
        <f>'C-FCL Real'!AM153</f>
        <v>8.7061811541829783</v>
      </c>
      <c r="AR33" s="48">
        <f>'C-FCL Real'!AN153</f>
        <v>8.8802583182249606</v>
      </c>
      <c r="AS33" s="48">
        <f>'C-FCL Real'!AO153</f>
        <v>9.0551536449379313</v>
      </c>
      <c r="AT33" s="48">
        <f>'C-FCL Real'!AP153</f>
        <v>9.2308709796864505</v>
      </c>
      <c r="AU33" s="48">
        <f>'C-FCL Real'!AQ153</f>
        <v>9.40741418590828</v>
      </c>
      <c r="AV33" s="48">
        <f>'C-FCL Real'!AR153</f>
        <v>9.5847871451993711</v>
      </c>
      <c r="AW33" s="48">
        <f>'C-FCL Real'!AS153</f>
        <v>9.7629937573991228</v>
      </c>
      <c r="AX33" s="48">
        <f>'C-FCL Real'!AT153</f>
        <v>9.9420379406762152</v>
      </c>
      <c r="AY33" s="48">
        <f>'C-FCL Real'!AU153</f>
        <v>10.121923631614706</v>
      </c>
      <c r="AZ33" s="48">
        <f>'C-FCL Real'!AV153</f>
        <v>10.302654785300604</v>
      </c>
      <c r="BA33" s="48">
        <f>'C-FCL Real'!AW153</f>
        <v>10.484235375408836</v>
      </c>
      <c r="BB33" s="48">
        <f>'C-FCL Real'!AX153</f>
        <v>10.666669394290572</v>
      </c>
      <c r="BC33" s="48">
        <f>'C-FCL Real'!AY153</f>
        <v>10.849960853061042</v>
      </c>
      <c r="BD33" s="48">
        <f>'C-FCL Real'!AZ153</f>
        <v>11.034113781687751</v>
      </c>
      <c r="BE33" s="48">
        <f>'C-FCL Real'!BA153</f>
        <v>11.219132229079001</v>
      </c>
      <c r="BF33" s="48">
        <f>'C-FCL Real'!BB153</f>
        <v>11.405020263172993</v>
      </c>
      <c r="BG33" s="48">
        <f>'C-FCL Real'!BC153</f>
        <v>11.59178197102721</v>
      </c>
      <c r="BH33" s="48">
        <f>'C-FCL Real'!BD153</f>
        <v>0</v>
      </c>
    </row>
    <row r="34" spans="1:60" ht="15" hidden="1" customHeight="1" outlineLevel="1" x14ac:dyDescent="0.25">
      <c r="A34" s="1576">
        <f>C34*1000000/$C$16</f>
        <v>6.3006940530859898</v>
      </c>
      <c r="B34" s="1598" t="s">
        <v>918</v>
      </c>
      <c r="C34" s="1563">
        <f>SUMIF($D$15:$BG$15,1,D34:BG34)</f>
        <v>34.618814993761447</v>
      </c>
      <c r="D34" s="1559">
        <f t="shared" ref="D34:AJ34" si="5">NPV($C$8,D33:D33)</f>
        <v>-27.381806496689201</v>
      </c>
      <c r="E34" s="48">
        <f t="shared" si="5"/>
        <v>-37.535956046724209</v>
      </c>
      <c r="F34" s="48">
        <f t="shared" si="5"/>
        <v>-47.09686957812665</v>
      </c>
      <c r="G34" s="48">
        <f t="shared" si="5"/>
        <v>3.0950289210397357</v>
      </c>
      <c r="H34" s="48">
        <f t="shared" si="5"/>
        <v>3.2309151893882695</v>
      </c>
      <c r="I34" s="48">
        <f t="shared" si="5"/>
        <v>3.3674401231980333</v>
      </c>
      <c r="J34" s="48">
        <f t="shared" si="5"/>
        <v>3.5046067241967021</v>
      </c>
      <c r="K34" s="48">
        <f t="shared" si="5"/>
        <v>3.6424180082200666</v>
      </c>
      <c r="L34" s="48">
        <f t="shared" si="5"/>
        <v>3.7808770052783465</v>
      </c>
      <c r="M34" s="48">
        <f t="shared" si="5"/>
        <v>3.9199867596227942</v>
      </c>
      <c r="N34" s="48">
        <f t="shared" si="5"/>
        <v>4.0597503298126636</v>
      </c>
      <c r="O34" s="48">
        <f t="shared" si="5"/>
        <v>4.2001707887824278</v>
      </c>
      <c r="P34" s="48">
        <f t="shared" si="5"/>
        <v>4.3412512239093397</v>
      </c>
      <c r="Q34" s="48">
        <f t="shared" si="5"/>
        <v>4.4829947370813548</v>
      </c>
      <c r="R34" s="48">
        <f t="shared" si="5"/>
        <v>4.6254044447652767</v>
      </c>
      <c r="S34" s="48">
        <f t="shared" si="5"/>
        <v>4.3412512239093397</v>
      </c>
      <c r="T34" s="48">
        <f t="shared" si="5"/>
        <v>4.4829947370813548</v>
      </c>
      <c r="U34" s="48">
        <f t="shared" si="5"/>
        <v>4.6254044447652767</v>
      </c>
      <c r="V34" s="48">
        <f t="shared" si="5"/>
        <v>4.7684834780753205</v>
      </c>
      <c r="W34" s="48">
        <f t="shared" si="5"/>
        <v>4.9122349828419134</v>
      </c>
      <c r="X34" s="48">
        <f t="shared" si="5"/>
        <v>5.056662119680909</v>
      </c>
      <c r="Y34" s="48">
        <f t="shared" si="5"/>
        <v>5.2017680640630486</v>
      </c>
      <c r="Z34" s="48">
        <f t="shared" si="5"/>
        <v>5.3475560063837797</v>
      </c>
      <c r="AA34" s="48">
        <f t="shared" si="5"/>
        <v>5.4940291520334235</v>
      </c>
      <c r="AB34" s="48">
        <f t="shared" si="5"/>
        <v>5.6411907214676216</v>
      </c>
      <c r="AC34" s="48">
        <f t="shared" si="5"/>
        <v>5.7890439502781534</v>
      </c>
      <c r="AD34" s="48">
        <f t="shared" si="5"/>
        <v>5.9375920892641103</v>
      </c>
      <c r="AE34" s="48">
        <f t="shared" si="5"/>
        <v>6.0868384045032791</v>
      </c>
      <c r="AF34" s="48">
        <f t="shared" si="5"/>
        <v>6.23678617742409</v>
      </c>
      <c r="AG34" s="48">
        <f t="shared" si="5"/>
        <v>6.3874387048776278</v>
      </c>
      <c r="AH34" s="48">
        <f t="shared" si="5"/>
        <v>6.5387992992101838</v>
      </c>
      <c r="AI34" s="48">
        <f t="shared" si="5"/>
        <v>6.6908712883361172</v>
      </c>
      <c r="AJ34" s="48">
        <f t="shared" si="5"/>
        <v>6.8436580158109379</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10.918362043998602</v>
      </c>
      <c r="B36" s="1550" t="s">
        <v>920</v>
      </c>
      <c r="C36" s="1564">
        <f>SUMIF($D$15:$BG$15,1,D36:BG36)</f>
        <v>59.990336374286436</v>
      </c>
      <c r="D36" s="1559">
        <f>IF(D33&gt;0,D33*0.34,0)</f>
        <v>0</v>
      </c>
      <c r="E36" s="48">
        <f t="shared" ref="E36:BG36" si="6">IF(E33&gt;0,E33*0.34,0)</f>
        <v>0</v>
      </c>
      <c r="F36" s="48">
        <f t="shared" si="6"/>
        <v>0</v>
      </c>
      <c r="G36" s="48">
        <f t="shared" si="6"/>
        <v>1.1548048109026621</v>
      </c>
      <c r="H36" s="48">
        <f t="shared" si="6"/>
        <v>1.2055061518037937</v>
      </c>
      <c r="I36" s="48">
        <f t="shared" si="6"/>
        <v>1.2564457890071574</v>
      </c>
      <c r="J36" s="48">
        <f t="shared" si="6"/>
        <v>1.3076248425053767</v>
      </c>
      <c r="K36" s="48">
        <f t="shared" si="6"/>
        <v>1.3590444375550383</v>
      </c>
      <c r="L36" s="48">
        <f t="shared" si="6"/>
        <v>1.4107057047014355</v>
      </c>
      <c r="M36" s="48">
        <f t="shared" si="6"/>
        <v>1.4626097798034186</v>
      </c>
      <c r="N36" s="48">
        <f t="shared" si="6"/>
        <v>1.514757804058382</v>
      </c>
      <c r="O36" s="48">
        <f t="shared" si="6"/>
        <v>1.5671509240273445</v>
      </c>
      <c r="P36" s="48">
        <f>IF(P33&gt;0,P33*0.34,0)</f>
        <v>1.6197902916601572</v>
      </c>
      <c r="Q36" s="48">
        <f>IF(Q33&gt;0,Q33*0.34,0)</f>
        <v>1.6726770643208466</v>
      </c>
      <c r="R36" s="48">
        <f>IF(R33&gt;0,R33*0.34,0)</f>
        <v>1.725812404813041</v>
      </c>
      <c r="S36" s="48">
        <f t="shared" si="6"/>
        <v>1.6197902916601572</v>
      </c>
      <c r="T36" s="48">
        <f t="shared" si="6"/>
        <v>1.6726770643208466</v>
      </c>
      <c r="U36" s="48">
        <f t="shared" si="6"/>
        <v>1.725812404813041</v>
      </c>
      <c r="V36" s="48">
        <f t="shared" si="6"/>
        <v>1.7791974814055513</v>
      </c>
      <c r="W36" s="48">
        <f t="shared" si="6"/>
        <v>1.8328334678580436</v>
      </c>
      <c r="X36" s="48">
        <f t="shared" si="6"/>
        <v>1.886721543446862</v>
      </c>
      <c r="Y36" s="48">
        <f t="shared" si="6"/>
        <v>1.9408628929909484</v>
      </c>
      <c r="Z36" s="48">
        <f t="shared" si="6"/>
        <v>1.9952587068778902</v>
      </c>
      <c r="AA36" s="48">
        <f t="shared" si="6"/>
        <v>2.049910181090103</v>
      </c>
      <c r="AB36" s="48">
        <f t="shared" si="6"/>
        <v>2.1048185172311134</v>
      </c>
      <c r="AC36" s="48">
        <f t="shared" si="6"/>
        <v>2.1599849225519834</v>
      </c>
      <c r="AD36" s="48">
        <f t="shared" si="6"/>
        <v>2.2154106099778681</v>
      </c>
      <c r="AE36" s="48">
        <f t="shared" si="6"/>
        <v>2.2710967981346455</v>
      </c>
      <c r="AF36" s="48">
        <f t="shared" si="6"/>
        <v>2.3270447113757666</v>
      </c>
      <c r="AG36" s="48">
        <f t="shared" si="6"/>
        <v>2.3832555798091208</v>
      </c>
      <c r="AH36" s="48">
        <f t="shared" si="6"/>
        <v>2.4397306393241069</v>
      </c>
      <c r="AI36" s="48">
        <f t="shared" si="6"/>
        <v>2.4964711316188186</v>
      </c>
      <c r="AJ36" s="48">
        <f t="shared" si="6"/>
        <v>2.5534783042273141</v>
      </c>
      <c r="AK36" s="48">
        <f t="shared" si="6"/>
        <v>2.61075341054707</v>
      </c>
      <c r="AL36" s="48">
        <f t="shared" si="6"/>
        <v>2.6682977098665295</v>
      </c>
      <c r="AM36" s="48">
        <f t="shared" si="6"/>
        <v>2.7261124673927846</v>
      </c>
      <c r="AN36" s="48">
        <f t="shared" si="6"/>
        <v>2.7841989542794177</v>
      </c>
      <c r="AO36" s="48">
        <f t="shared" si="6"/>
        <v>2.842558447654421</v>
      </c>
      <c r="AP36" s="48">
        <f t="shared" si="6"/>
        <v>2.9011922306482791</v>
      </c>
      <c r="AQ36" s="48">
        <f t="shared" si="6"/>
        <v>2.9601015924222129</v>
      </c>
      <c r="AR36" s="48">
        <f t="shared" si="6"/>
        <v>3.0192878281964868</v>
      </c>
      <c r="AS36" s="48">
        <f t="shared" si="6"/>
        <v>3.0787522392788969</v>
      </c>
      <c r="AT36" s="48">
        <f t="shared" si="6"/>
        <v>3.1384961330933936</v>
      </c>
      <c r="AU36" s="48">
        <f t="shared" si="6"/>
        <v>3.1985208232088156</v>
      </c>
      <c r="AV36" s="48">
        <f t="shared" si="6"/>
        <v>3.2588276293677865</v>
      </c>
      <c r="AW36" s="48">
        <f t="shared" si="6"/>
        <v>3.3194178775157019</v>
      </c>
      <c r="AX36" s="48">
        <f t="shared" si="6"/>
        <v>3.3802928998299135</v>
      </c>
      <c r="AY36" s="48">
        <f t="shared" si="6"/>
        <v>3.4414540347490004</v>
      </c>
      <c r="AZ36" s="48">
        <f t="shared" si="6"/>
        <v>3.5029026270022054</v>
      </c>
      <c r="BA36" s="48">
        <f t="shared" si="6"/>
        <v>3.5646400276390047</v>
      </c>
      <c r="BB36" s="48">
        <f t="shared" si="6"/>
        <v>3.6266675940587949</v>
      </c>
      <c r="BC36" s="48">
        <f t="shared" si="6"/>
        <v>3.6889866900407546</v>
      </c>
      <c r="BD36" s="48">
        <f t="shared" si="6"/>
        <v>3.7515986857738355</v>
      </c>
      <c r="BE36" s="48">
        <f t="shared" si="6"/>
        <v>3.8145049578868608</v>
      </c>
      <c r="BF36" s="48">
        <f t="shared" si="6"/>
        <v>3.877706889478818</v>
      </c>
      <c r="BG36" s="48">
        <f t="shared" si="6"/>
        <v>3.9412058701492518</v>
      </c>
      <c r="BH36" s="48">
        <f>BH33*0.34</f>
        <v>0</v>
      </c>
    </row>
    <row r="37" spans="1:60" ht="15" hidden="1" customHeight="1" outlineLevel="1" x14ac:dyDescent="0.25">
      <c r="A37" s="1576">
        <f>C37*1000000/$C$16</f>
        <v>9.0737781189906759</v>
      </c>
      <c r="B37" s="1598" t="s">
        <v>919</v>
      </c>
      <c r="C37" s="1563">
        <f>SUMIF($D$15:$BG$15,1,D37:BG37)</f>
        <v>49.855372019202512</v>
      </c>
      <c r="D37" s="1559">
        <f t="shared" ref="D37:AJ37" si="7">NPV($C$8,D36:D36)</f>
        <v>0</v>
      </c>
      <c r="E37" s="48">
        <f t="shared" si="7"/>
        <v>0</v>
      </c>
      <c r="F37" s="48">
        <f t="shared" si="7"/>
        <v>0</v>
      </c>
      <c r="G37" s="48">
        <f t="shared" si="7"/>
        <v>1.0523098331535103</v>
      </c>
      <c r="H37" s="48">
        <f t="shared" si="7"/>
        <v>1.0985111643920118</v>
      </c>
      <c r="I37" s="48">
        <f t="shared" si="7"/>
        <v>1.1449296418873314</v>
      </c>
      <c r="J37" s="48">
        <f t="shared" si="7"/>
        <v>1.1915662862268788</v>
      </c>
      <c r="K37" s="48">
        <f t="shared" si="7"/>
        <v>1.2384221227948227</v>
      </c>
      <c r="L37" s="48">
        <f t="shared" si="7"/>
        <v>1.2854981817946378</v>
      </c>
      <c r="M37" s="48">
        <f t="shared" si="7"/>
        <v>1.3327954982717503</v>
      </c>
      <c r="N37" s="48">
        <f t="shared" si="7"/>
        <v>1.380315112136306</v>
      </c>
      <c r="O37" s="48">
        <f t="shared" si="7"/>
        <v>1.4280580681860258</v>
      </c>
      <c r="P37" s="48">
        <f t="shared" si="7"/>
        <v>1.4760254161291757</v>
      </c>
      <c r="Q37" s="48">
        <f t="shared" si="7"/>
        <v>1.5242182106076605</v>
      </c>
      <c r="R37" s="48">
        <f t="shared" si="7"/>
        <v>1.5726375112201942</v>
      </c>
      <c r="S37" s="48">
        <f t="shared" si="7"/>
        <v>1.4760254161291757</v>
      </c>
      <c r="T37" s="48">
        <f t="shared" si="7"/>
        <v>1.5242182106076605</v>
      </c>
      <c r="U37" s="48">
        <f t="shared" si="7"/>
        <v>1.5726375112201942</v>
      </c>
      <c r="V37" s="48">
        <f t="shared" si="7"/>
        <v>1.6212843825456091</v>
      </c>
      <c r="W37" s="48">
        <f t="shared" si="7"/>
        <v>1.6701598941662508</v>
      </c>
      <c r="X37" s="48">
        <f t="shared" si="7"/>
        <v>1.7192651206915093</v>
      </c>
      <c r="Y37" s="48">
        <f t="shared" si="7"/>
        <v>1.7686011417814367</v>
      </c>
      <c r="Z37" s="48">
        <f t="shared" si="7"/>
        <v>1.818169042170485</v>
      </c>
      <c r="AA37" s="48">
        <f t="shared" si="7"/>
        <v>1.8679699116913642</v>
      </c>
      <c r="AB37" s="48">
        <f t="shared" si="7"/>
        <v>1.9180048452989917</v>
      </c>
      <c r="AC37" s="48">
        <f t="shared" si="7"/>
        <v>1.9682749430945721</v>
      </c>
      <c r="AD37" s="48">
        <f t="shared" si="7"/>
        <v>2.018781310349798</v>
      </c>
      <c r="AE37" s="48">
        <f t="shared" si="7"/>
        <v>2.069525057531115</v>
      </c>
      <c r="AF37" s="48">
        <f t="shared" si="7"/>
        <v>2.1205073003241908</v>
      </c>
      <c r="AG37" s="48">
        <f t="shared" si="7"/>
        <v>2.1717291596583936</v>
      </c>
      <c r="AH37" s="48">
        <f t="shared" si="7"/>
        <v>2.2231917617314627</v>
      </c>
      <c r="AI37" s="48">
        <f t="shared" si="7"/>
        <v>2.2748962380342799</v>
      </c>
      <c r="AJ37" s="48">
        <f t="shared" si="7"/>
        <v>2.3268437253757193</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-1.178104107147224</v>
      </c>
      <c r="B39" s="1549" t="s">
        <v>908</v>
      </c>
      <c r="C39" s="1564">
        <f>SUMIF($D$15:$BG$15,1,D39:BG39)</f>
        <v>-6.473027857739666</v>
      </c>
      <c r="D39" s="1559">
        <f>'C-FCL Real'!C156</f>
        <v>-30.048794449466726</v>
      </c>
      <c r="E39" s="48">
        <f>'C-FCL Real'!D156</f>
        <v>-41.191958165675146</v>
      </c>
      <c r="F39" s="48">
        <f>'C-FCL Real'!E156</f>
        <v>-51.684104675036181</v>
      </c>
      <c r="G39" s="48">
        <f>'C-FCL Real'!F156</f>
        <v>2.2416799270463441</v>
      </c>
      <c r="H39" s="48">
        <f>'C-FCL Real'!G156</f>
        <v>2.3401001770308936</v>
      </c>
      <c r="I39" s="48">
        <f>'C-FCL Real'!H156</f>
        <v>2.4389830021903642</v>
      </c>
      <c r="J39" s="48">
        <f>'C-FCL Real'!I156</f>
        <v>2.5383305766280841</v>
      </c>
      <c r="K39" s="48">
        <f>'C-FCL Real'!J156</f>
        <v>2.6381450846656627</v>
      </c>
      <c r="L39" s="48">
        <f>'C-FCL Real'!K156</f>
        <v>2.7384287208910219</v>
      </c>
      <c r="M39" s="48">
        <f>'C-FCL Real'!L156</f>
        <v>2.8391836902066356</v>
      </c>
      <c r="N39" s="48">
        <f>'C-FCL Real'!M156</f>
        <v>2.9404122078780355</v>
      </c>
      <c r="O39" s="48">
        <f>'C-FCL Real'!N156</f>
        <v>3.0421164995824919</v>
      </c>
      <c r="P39" s="48">
        <f>'C-FCL Real'!O156</f>
        <v>3.144298801457952</v>
      </c>
      <c r="Q39" s="48">
        <f>'C-FCL Real'!P156</f>
        <v>3.2469613601522318</v>
      </c>
      <c r="R39" s="48">
        <f>'C-FCL Real'!Q156</f>
        <v>3.3501064328723733</v>
      </c>
      <c r="S39" s="48">
        <f>'C-FCL Real'!O156</f>
        <v>3.144298801457952</v>
      </c>
      <c r="T39" s="48">
        <f>'C-FCL Real'!P156</f>
        <v>3.2469613601522318</v>
      </c>
      <c r="U39" s="48">
        <f>'C-FCL Real'!Q156</f>
        <v>3.3501064328723733</v>
      </c>
      <c r="V39" s="48">
        <f>'C-FCL Real'!R156</f>
        <v>3.4537362874343054</v>
      </c>
      <c r="W39" s="48">
        <f>'C-FCL Real'!S156</f>
        <v>3.5578532023126725</v>
      </c>
      <c r="X39" s="48">
        <f>'C-FCL Real'!T156</f>
        <v>3.6624594666909673</v>
      </c>
      <c r="Y39" s="48">
        <f>'C-FCL Real'!U156</f>
        <v>3.7675573805118407</v>
      </c>
      <c r="Z39" s="48">
        <f>'C-FCL Real'!V156</f>
        <v>3.8731492545276693</v>
      </c>
      <c r="AA39" s="48">
        <f>'C-FCL Real'!W156</f>
        <v>3.9792374103513763</v>
      </c>
      <c r="AB39" s="48">
        <f>'C-FCL Real'!X156</f>
        <v>4.0858241805074549</v>
      </c>
      <c r="AC39" s="48">
        <f>'C-FCL Real'!Y156</f>
        <v>4.1929119084832625</v>
      </c>
      <c r="AD39" s="48">
        <f>'C-FCL Real'!Z156</f>
        <v>4.3005029487805668</v>
      </c>
      <c r="AE39" s="48">
        <f>'C-FCL Real'!AA156</f>
        <v>4.4085996669672527</v>
      </c>
      <c r="AF39" s="48">
        <f>'C-FCL Real'!AB156</f>
        <v>4.5172044397294293</v>
      </c>
      <c r="AG39" s="48">
        <f>'C-FCL Real'!AC156</f>
        <v>4.626319654923587</v>
      </c>
      <c r="AH39" s="48">
        <f>'C-FCL Real'!AD156</f>
        <v>4.7359477116291488</v>
      </c>
      <c r="AI39" s="48">
        <f>'C-FCL Real'!AE156</f>
        <v>4.8460910202012357</v>
      </c>
      <c r="AJ39" s="48">
        <f>'C-FCL Real'!AF156</f>
        <v>4.9567520023236096</v>
      </c>
      <c r="AK39" s="48">
        <f>'C-FCL Real'!AG156</f>
        <v>5.0679330910619589</v>
      </c>
      <c r="AL39" s="48">
        <f>'C-FCL Real'!AH156</f>
        <v>5.1796367309173803</v>
      </c>
      <c r="AM39" s="48">
        <f>'C-FCL Real'!AI156</f>
        <v>5.2918653778801108</v>
      </c>
      <c r="AN39" s="48">
        <f>'C-FCL Real'!AJ156</f>
        <v>5.404621499483576</v>
      </c>
      <c r="AO39" s="48">
        <f>'C-FCL Real'!AK156</f>
        <v>5.5179075748585813</v>
      </c>
      <c r="AP39" s="48">
        <f>'C-FCL Real'!AL156</f>
        <v>5.6317260947878358</v>
      </c>
      <c r="AQ39" s="48">
        <f>'C-FCL Real'!AM156</f>
        <v>5.7460795617607658</v>
      </c>
      <c r="AR39" s="48">
        <f>'C-FCL Real'!AN156</f>
        <v>5.8609704900284747</v>
      </c>
      <c r="AS39" s="48">
        <f>'C-FCL Real'!AO156</f>
        <v>5.9764014056590353</v>
      </c>
      <c r="AT39" s="48">
        <f>'C-FCL Real'!AP156</f>
        <v>6.0923748465930574</v>
      </c>
      <c r="AU39" s="48">
        <f>'C-FCL Real'!AQ156</f>
        <v>6.2088933626994649</v>
      </c>
      <c r="AV39" s="48">
        <f>'C-FCL Real'!AR156</f>
        <v>6.3259595158315856</v>
      </c>
      <c r="AW39" s="48">
        <f>'C-FCL Real'!AS156</f>
        <v>6.4435758798834213</v>
      </c>
      <c r="AX39" s="48">
        <f>'C-FCL Real'!AT156</f>
        <v>6.5617450408463025</v>
      </c>
      <c r="AY39" s="48">
        <f>'C-FCL Real'!AU156</f>
        <v>6.6804695968657066</v>
      </c>
      <c r="AZ39" s="48">
        <f>'C-FCL Real'!AV156</f>
        <v>6.7997521582983991</v>
      </c>
      <c r="BA39" s="48">
        <f>'C-FCL Real'!AW156</f>
        <v>6.9195953477698326</v>
      </c>
      <c r="BB39" s="48">
        <f>'C-FCL Real'!AX156</f>
        <v>7.0400018002317779</v>
      </c>
      <c r="BC39" s="48">
        <f>'C-FCL Real'!AY156</f>
        <v>7.1609741630202874</v>
      </c>
      <c r="BD39" s="48">
        <f>'C-FCL Real'!AZ156</f>
        <v>7.282515095913916</v>
      </c>
      <c r="BE39" s="48">
        <f>'C-FCL Real'!BA156</f>
        <v>7.4046272711921413</v>
      </c>
      <c r="BF39" s="48">
        <f>'C-FCL Real'!BB156</f>
        <v>7.5273133736941755</v>
      </c>
      <c r="BG39" s="48">
        <f>'C-FCL Real'!BC156</f>
        <v>7.6505761008779585</v>
      </c>
      <c r="BH39" s="48">
        <f>'C-FCL Real'!BD156</f>
        <v>0</v>
      </c>
    </row>
    <row r="40" spans="1:60" ht="15" hidden="1" customHeight="1" outlineLevel="1" x14ac:dyDescent="0.25">
      <c r="A40" s="1576">
        <f>C40*1000000/$C$16</f>
        <v>-1.9325755642892564</v>
      </c>
      <c r="B40" s="1598" t="s">
        <v>921</v>
      </c>
      <c r="C40" s="1563">
        <f>SUMIF($D$15:$BG$15,1,D40:BG40)</f>
        <v>-10.618429550443818</v>
      </c>
      <c r="D40" s="1559">
        <f t="shared" ref="D40:AK40" si="8">NPV($C$8,D39:D39)</f>
        <v>-27.381806496689201</v>
      </c>
      <c r="E40" s="48">
        <f t="shared" si="8"/>
        <v>-37.535956046724209</v>
      </c>
      <c r="F40" s="48">
        <f t="shared" si="8"/>
        <v>-47.09686957812665</v>
      </c>
      <c r="G40" s="48">
        <f t="shared" si="8"/>
        <v>2.0427190878862258</v>
      </c>
      <c r="H40" s="48">
        <f t="shared" si="8"/>
        <v>2.1324040249962581</v>
      </c>
      <c r="I40" s="48">
        <f t="shared" si="8"/>
        <v>2.2225104813107022</v>
      </c>
      <c r="J40" s="48">
        <f t="shared" si="8"/>
        <v>2.3130404379698235</v>
      </c>
      <c r="K40" s="48">
        <f t="shared" si="8"/>
        <v>2.4039958854252439</v>
      </c>
      <c r="L40" s="48">
        <f t="shared" si="8"/>
        <v>2.4953788234837089</v>
      </c>
      <c r="M40" s="48">
        <f t="shared" si="8"/>
        <v>2.5871912613510442</v>
      </c>
      <c r="N40" s="48">
        <f t="shared" si="8"/>
        <v>2.6794352176763585</v>
      </c>
      <c r="O40" s="48">
        <f t="shared" si="8"/>
        <v>2.7721127205964025</v>
      </c>
      <c r="P40" s="48">
        <f t="shared" si="8"/>
        <v>2.8652258077801642</v>
      </c>
      <c r="Q40" s="48">
        <f t="shared" si="8"/>
        <v>2.9587765264736943</v>
      </c>
      <c r="R40" s="48">
        <f t="shared" si="8"/>
        <v>3.0527669335450827</v>
      </c>
      <c r="S40" s="48">
        <f t="shared" si="8"/>
        <v>2.8652258077801642</v>
      </c>
      <c r="T40" s="48">
        <f t="shared" si="8"/>
        <v>2.9587765264736943</v>
      </c>
      <c r="U40" s="48">
        <f t="shared" si="8"/>
        <v>3.0527669335450827</v>
      </c>
      <c r="V40" s="48">
        <f t="shared" si="8"/>
        <v>3.1471990955297118</v>
      </c>
      <c r="W40" s="48">
        <f t="shared" si="8"/>
        <v>3.2420750886756631</v>
      </c>
      <c r="X40" s="48">
        <f t="shared" si="8"/>
        <v>3.3373969989894001</v>
      </c>
      <c r="Y40" s="48">
        <f t="shared" si="8"/>
        <v>3.4331669222816119</v>
      </c>
      <c r="Z40" s="48">
        <f t="shared" si="8"/>
        <v>3.5293869642132947</v>
      </c>
      <c r="AA40" s="48">
        <f t="shared" si="8"/>
        <v>3.6260592403420602</v>
      </c>
      <c r="AB40" s="48">
        <f t="shared" si="8"/>
        <v>3.7231858761686305</v>
      </c>
      <c r="AC40" s="48">
        <f t="shared" si="8"/>
        <v>3.820769007183582</v>
      </c>
      <c r="AD40" s="48">
        <f t="shared" si="8"/>
        <v>3.9188107789143132</v>
      </c>
      <c r="AE40" s="48">
        <f t="shared" si="8"/>
        <v>4.0173133469721645</v>
      </c>
      <c r="AF40" s="48">
        <f t="shared" si="8"/>
        <v>4.1162788770998997</v>
      </c>
      <c r="AG40" s="48">
        <f t="shared" si="8"/>
        <v>4.2157095452192337</v>
      </c>
      <c r="AH40" s="48">
        <f t="shared" si="8"/>
        <v>4.3156075374787219</v>
      </c>
      <c r="AI40" s="48">
        <f t="shared" si="8"/>
        <v>4.4159750503018369</v>
      </c>
      <c r="AJ40" s="48">
        <f t="shared" si="8"/>
        <v>4.5168142904352191</v>
      </c>
      <c r="AK40" s="48">
        <f t="shared" si="8"/>
        <v>4.6181274749972294</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214.279491827013</v>
      </c>
      <c r="B42" s="1548" t="s">
        <v>909</v>
      </c>
      <c r="C42" s="1563"/>
      <c r="D42" s="1559">
        <f>'C-FCL Real'!C157</f>
        <v>-30.048794449466726</v>
      </c>
      <c r="E42" s="48">
        <f>'C-FCL Real'!D157</f>
        <v>-71.240752615141872</v>
      </c>
      <c r="F42" s="48">
        <f>'C-FCL Real'!E157</f>
        <v>-122.92485729017805</v>
      </c>
      <c r="G42" s="48">
        <f>'C-FCL Real'!F157</f>
        <v>-120.6831773631317</v>
      </c>
      <c r="H42" s="48">
        <f>'C-FCL Real'!G157</f>
        <v>-118.34307718610081</v>
      </c>
      <c r="I42" s="48">
        <f>'C-FCL Real'!H157</f>
        <v>-115.90409418391044</v>
      </c>
      <c r="J42" s="48">
        <f>'C-FCL Real'!I157</f>
        <v>-113.36576360728236</v>
      </c>
      <c r="K42" s="48">
        <f>'C-FCL Real'!J157</f>
        <v>-110.72761852261669</v>
      </c>
      <c r="L42" s="48">
        <f>'C-FCL Real'!K157</f>
        <v>-107.98918980172567</v>
      </c>
      <c r="M42" s="48">
        <f>'C-FCL Real'!L157</f>
        <v>-105.15000611151903</v>
      </c>
      <c r="N42" s="48">
        <f>'C-FCL Real'!M157</f>
        <v>-102.20959390364099</v>
      </c>
      <c r="O42" s="48">
        <f>'C-FCL Real'!N157</f>
        <v>-99.167477404058502</v>
      </c>
      <c r="P42" s="48">
        <f>'C-FCL Real'!O157</f>
        <v>-96.023178602600552</v>
      </c>
      <c r="Q42" s="48">
        <f>'C-FCL Real'!P157</f>
        <v>-92.776217242448325</v>
      </c>
      <c r="R42" s="48">
        <f>'C-FCL Real'!Q157</f>
        <v>-89.426110809575945</v>
      </c>
      <c r="S42" s="48">
        <f>'C-FCL Real'!O157</f>
        <v>-96.023178602600552</v>
      </c>
      <c r="T42" s="48">
        <f>'C-FCL Real'!P157</f>
        <v>-92.776217242448325</v>
      </c>
      <c r="U42" s="48">
        <f>'C-FCL Real'!Q157</f>
        <v>-89.426110809575945</v>
      </c>
      <c r="V42" s="48">
        <f>'C-FCL Real'!R157</f>
        <v>-85.972374522141635</v>
      </c>
      <c r="W42" s="48">
        <f>'C-FCL Real'!S157</f>
        <v>-82.414521319828964</v>
      </c>
      <c r="X42" s="48">
        <f>'C-FCL Real'!T157</f>
        <v>-78.752061853138002</v>
      </c>
      <c r="Y42" s="48">
        <f>'C-FCL Real'!U157</f>
        <v>-74.984504472626156</v>
      </c>
      <c r="Z42" s="48">
        <f>'C-FCL Real'!V157</f>
        <v>-71.111355218098481</v>
      </c>
      <c r="AA42" s="48">
        <f>'C-FCL Real'!W157</f>
        <v>-67.132117807747107</v>
      </c>
      <c r="AB42" s="48">
        <f>'C-FCL Real'!X157</f>
        <v>-63.046293627239649</v>
      </c>
      <c r="AC42" s="48">
        <f>'C-FCL Real'!Y157</f>
        <v>-58.853381718756388</v>
      </c>
      <c r="AD42" s="48">
        <f>'C-FCL Real'!Z157</f>
        <v>-54.55287876997582</v>
      </c>
      <c r="AE42" s="48">
        <f>'C-FCL Real'!AA157</f>
        <v>-50.144279103008564</v>
      </c>
      <c r="AF42" s="48">
        <f>'C-FCL Real'!AB157</f>
        <v>-45.627074663279132</v>
      </c>
      <c r="AG42" s="48">
        <f>'C-FCL Real'!AC157</f>
        <v>-41.000755008355547</v>
      </c>
      <c r="AH42" s="48">
        <f>'C-FCL Real'!AD157</f>
        <v>-36.264807296726396</v>
      </c>
      <c r="AI42" s="48">
        <f>'C-FCL Real'!AE157</f>
        <v>-31.41871627652516</v>
      </c>
      <c r="AJ42" s="48">
        <f>'C-FCL Real'!AF157</f>
        <v>-26.461964274201549</v>
      </c>
      <c r="AK42" s="48">
        <f>'C-FCL Real'!AG157</f>
        <v>-21.394031183139589</v>
      </c>
      <c r="AL42" s="48">
        <f>'C-FCL Real'!AH157</f>
        <v>-16.214394452222209</v>
      </c>
      <c r="AM42" s="48">
        <f>'C-FCL Real'!AI157</f>
        <v>-10.922529074342098</v>
      </c>
      <c r="AN42" s="48">
        <f>'C-FCL Real'!AJ157</f>
        <v>-5.5179075748585218</v>
      </c>
      <c r="AO42" s="48">
        <f>'C-FCL Real'!AK157</f>
        <v>5.9507954119908391E-14</v>
      </c>
      <c r="AP42" s="48">
        <f>'C-FCL Real'!AL157</f>
        <v>5.6317260947878953</v>
      </c>
      <c r="AQ42" s="48">
        <f>'C-FCL Real'!AM157</f>
        <v>11.377805656548661</v>
      </c>
      <c r="AR42" s="48">
        <f>'C-FCL Real'!AN157</f>
        <v>17.238776146577138</v>
      </c>
      <c r="AS42" s="48">
        <f>'C-FCL Real'!AO157</f>
        <v>23.215177552236174</v>
      </c>
      <c r="AT42" s="48">
        <f>'C-FCL Real'!AP157</f>
        <v>29.30755239882923</v>
      </c>
      <c r="AU42" s="48">
        <f>'C-FCL Real'!AQ157</f>
        <v>35.516445761528693</v>
      </c>
      <c r="AV42" s="48">
        <f>'C-FCL Real'!AR157</f>
        <v>41.842405277360278</v>
      </c>
      <c r="AW42" s="48">
        <f>'C-FCL Real'!AS157</f>
        <v>48.285981157243697</v>
      </c>
      <c r="AX42" s="48">
        <f>'C-FCL Real'!AT157</f>
        <v>54.847726198090001</v>
      </c>
      <c r="AY42" s="48">
        <f>'C-FCL Real'!AU157</f>
        <v>61.528195794955707</v>
      </c>
      <c r="AZ42" s="48">
        <f>'C-FCL Real'!AV157</f>
        <v>68.32794795325411</v>
      </c>
      <c r="BA42" s="48">
        <f>'C-FCL Real'!AW157</f>
        <v>75.247543301023939</v>
      </c>
      <c r="BB42" s="48">
        <f>'C-FCL Real'!AX157</f>
        <v>82.287545101255716</v>
      </c>
      <c r="BC42" s="48">
        <f>'C-FCL Real'!AY157</f>
        <v>89.448519264276001</v>
      </c>
      <c r="BD42" s="48">
        <f>'C-FCL Real'!AZ157</f>
        <v>96.731034360189923</v>
      </c>
      <c r="BE42" s="48">
        <f>'C-FCL Real'!BA157</f>
        <v>104.13566163138206</v>
      </c>
      <c r="BF42" s="48">
        <f>'C-FCL Real'!BB157</f>
        <v>111.66297500507623</v>
      </c>
      <c r="BG42" s="48">
        <f>'C-FCL Real'!BC157</f>
        <v>119.31355110595419</v>
      </c>
      <c r="BH42" s="48">
        <f>'C-FCL Real'!BD157</f>
        <v>0</v>
      </c>
    </row>
    <row r="43" spans="1:60" ht="15" hidden="1" customHeight="1" outlineLevel="1" x14ac:dyDescent="0.25">
      <c r="A43" s="1576">
        <f>A18+A21+A36</f>
        <v>215.45759593416022</v>
      </c>
      <c r="B43" s="1548" t="s">
        <v>948</v>
      </c>
      <c r="C43" s="1565">
        <f>'R&amp;C-Painel de Controle'!D32</f>
        <v>35</v>
      </c>
      <c r="D43" s="1551" t="s">
        <v>260</v>
      </c>
    </row>
    <row r="44" spans="1:60" ht="15" hidden="1" customHeight="1" outlineLevel="1" x14ac:dyDescent="0.25">
      <c r="A44" s="1576">
        <f>A42-A43</f>
        <v>-1.1781041071472202</v>
      </c>
      <c r="B44" s="1548" t="s">
        <v>930</v>
      </c>
      <c r="C44" s="33"/>
      <c r="D44" s="749"/>
      <c r="F44" s="1498"/>
      <c r="G44" s="1498"/>
    </row>
    <row r="45" spans="1:60" ht="15" hidden="1" customHeight="1" outlineLevel="1" x14ac:dyDescent="0.25">
      <c r="A45" s="1576"/>
      <c r="B45" s="1834" t="s">
        <v>1031</v>
      </c>
      <c r="C45" s="1835">
        <v>160</v>
      </c>
      <c r="D45" s="1836" t="s">
        <v>293</v>
      </c>
      <c r="E45" s="1837"/>
      <c r="F45" s="1838"/>
      <c r="G45" s="1838"/>
      <c r="H45" s="1837"/>
    </row>
    <row r="46" spans="1:60" ht="15" hidden="1" customHeight="1" outlineLevel="1" x14ac:dyDescent="0.25">
      <c r="B46" s="1501" t="s">
        <v>927</v>
      </c>
      <c r="C46" s="1564">
        <f>F46*$C$16/1000000</f>
        <v>1119.1897815116963</v>
      </c>
      <c r="D46" s="1518" t="s">
        <v>967</v>
      </c>
      <c r="E46" s="1518"/>
      <c r="F46" s="1534">
        <f>A27</f>
        <v>203.69479434567918</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58.157034889157352</v>
      </c>
      <c r="D48" s="1518" t="s">
        <v>967</v>
      </c>
      <c r="E48" s="1518"/>
      <c r="F48" s="1534">
        <f>A30</f>
        <v>10.584697481333817</v>
      </c>
      <c r="G48" s="1518" t="s">
        <v>293</v>
      </c>
      <c r="H48" s="1518"/>
    </row>
    <row r="49" spans="1:8" s="39" customFormat="1" ht="15" hidden="1" customHeight="1" outlineLevel="1" thickTop="1" x14ac:dyDescent="0.25">
      <c r="B49" s="1519" t="s">
        <v>931</v>
      </c>
      <c r="C49" s="1536">
        <f>C46+C47+C48</f>
        <v>1177.3468164008536</v>
      </c>
      <c r="D49" s="1520" t="s">
        <v>967</v>
      </c>
      <c r="E49" s="1520"/>
      <c r="F49" s="1521">
        <f>F46+F47+F48</f>
        <v>214.279491827013</v>
      </c>
      <c r="G49" s="1520" t="s">
        <v>293</v>
      </c>
      <c r="H49" s="1520"/>
    </row>
    <row r="50" spans="1:8" ht="15" hidden="1" customHeight="1" outlineLevel="1" x14ac:dyDescent="0.25">
      <c r="B50" s="1620" t="s">
        <v>933</v>
      </c>
      <c r="C50" s="1621">
        <f>F50*$C$16/1000000</f>
        <v>1123.8295078843068</v>
      </c>
      <c r="D50" s="1622" t="s">
        <v>967</v>
      </c>
      <c r="E50" s="1622"/>
      <c r="F50" s="1623">
        <f>A18+A21</f>
        <v>204.53923389016163</v>
      </c>
      <c r="G50" s="1622" t="s">
        <v>293</v>
      </c>
      <c r="H50" s="1622"/>
    </row>
    <row r="51" spans="1:8" ht="15" hidden="1" customHeight="1" outlineLevel="1" x14ac:dyDescent="0.25">
      <c r="B51" s="1501" t="s">
        <v>934</v>
      </c>
      <c r="C51" s="1575">
        <f>F51*$C$16/1000000</f>
        <v>59.990336374286436</v>
      </c>
      <c r="D51" s="1518" t="s">
        <v>967</v>
      </c>
      <c r="E51" s="1518"/>
      <c r="F51" s="1535">
        <f>A36</f>
        <v>10.918362043998602</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-6.4730278577396447</v>
      </c>
      <c r="D53" s="1596" t="s">
        <v>967</v>
      </c>
      <c r="E53" s="1596"/>
      <c r="F53" s="1597">
        <f>F49-F50-F51</f>
        <v>-1.1781041071472238</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2" t="s">
        <v>988</v>
      </c>
      <c r="C55" s="2123"/>
      <c r="D55" s="2123"/>
      <c r="E55" s="2123"/>
      <c r="F55" s="2123"/>
      <c r="G55" s="2123"/>
      <c r="H55" s="2124"/>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9009864.4390287679</v>
      </c>
      <c r="D57" s="1512" t="s">
        <v>922</v>
      </c>
      <c r="E57" s="1512"/>
      <c r="F57" s="1513">
        <f>C57/'R&amp;C-Painel de Controle'!$D$8</f>
        <v>61.711400267320329</v>
      </c>
      <c r="G57" s="1512" t="s">
        <v>293</v>
      </c>
      <c r="H57" s="1514">
        <f>F57/$F$99</f>
        <v>0.25933474810857743</v>
      </c>
    </row>
    <row r="58" spans="1:8" s="1499" customFormat="1" ht="15" hidden="1" customHeight="1" outlineLevel="1" x14ac:dyDescent="0.25">
      <c r="B58" s="1507" t="s">
        <v>940</v>
      </c>
      <c r="C58" s="1567">
        <f>('R&amp;C-Painel de Controle'!D8-'R&amp;C-Painel de Controle'!D9)</f>
        <v>87078.05</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103.46883559092984</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11367731.503586518</v>
      </c>
      <c r="D61" s="1600" t="s">
        <v>922</v>
      </c>
      <c r="E61" s="1600"/>
      <c r="F61" s="1601">
        <f>C61/'R&amp;C-Painel de Controle'!$D$8</f>
        <v>77.861174682099431</v>
      </c>
      <c r="G61" s="1600" t="s">
        <v>293</v>
      </c>
      <c r="H61" s="1602">
        <f>F61/$F$99</f>
        <v>0.32720223550514804</v>
      </c>
    </row>
    <row r="62" spans="1:8" s="1499" customFormat="1" ht="15" hidden="1" customHeight="1" outlineLevel="1" x14ac:dyDescent="0.25">
      <c r="B62" s="1502" t="str">
        <f>'R&amp;C-Painel de Controle'!J36</f>
        <v>Mat. Recicl.: Papel/Papelão — Triagem Mecanizada</v>
      </c>
      <c r="C62" s="1570">
        <f>'R&amp;C-Painel de Controle'!L36</f>
        <v>5184.0582321483053</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3521.9937607725124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1820.3563257925346</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949.75112650045298</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f>
        <v>237.43778162511325</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f>
        <v>910.17816289626728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518" t="s">
        <v>922</v>
      </c>
      <c r="E78" s="1518"/>
      <c r="F78" s="1535">
        <f>C78/'R&amp;C-Painel de Controle'!$D$8</f>
        <v>21.121053262886164</v>
      </c>
      <c r="G78" s="1518" t="s">
        <v>293</v>
      </c>
      <c r="H78" s="1603">
        <f>F78/$F$99</f>
        <v>8.8758689707111302E-2</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518" t="s">
        <v>922</v>
      </c>
      <c r="E79" s="1518"/>
      <c r="F79" s="1535">
        <f>C79/'R&amp;C-Painel de Controle'!$D$8</f>
        <v>29.569474568040626</v>
      </c>
      <c r="G79" s="1518" t="s">
        <v>293</v>
      </c>
      <c r="H79" s="1603">
        <f>F79/$F$99</f>
        <v>0.12426216558995581</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1824186.927506933</v>
      </c>
      <c r="D81" s="1606" t="s">
        <v>922</v>
      </c>
      <c r="E81" s="1606"/>
      <c r="F81" s="1607">
        <f>C81/'R&amp;C-Painel de Controle'!$D$8</f>
        <v>12.494431010321458</v>
      </c>
      <c r="G81" s="1606" t="s">
        <v>293</v>
      </c>
      <c r="H81" s="1608">
        <f>F81/$F$99</f>
        <v>5.2506345744638756E-2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237.54494967426146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96.270080005154213</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217564.23930309125</v>
      </c>
      <c r="D88" s="1606" t="s">
        <v>922</v>
      </c>
      <c r="E88" s="1606"/>
      <c r="F88" s="1607">
        <f>C88/'R&amp;C-Painel de Controle'!$D$8</f>
        <v>1.4901660226239126</v>
      </c>
      <c r="G88" s="1606" t="s">
        <v>293</v>
      </c>
      <c r="H88" s="1608">
        <f>F88/$F$99</f>
        <v>6.2622437417253216E-3</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4922054.1560447989</v>
      </c>
      <c r="D92" s="1606" t="s">
        <v>922</v>
      </c>
      <c r="E92" s="1609"/>
      <c r="F92" s="1610">
        <f>C92/'R&amp;C-Painel de Controle'!$D$8</f>
        <v>33.71269969893698</v>
      </c>
      <c r="G92" s="1609" t="s">
        <v>293</v>
      </c>
      <c r="H92" s="1611">
        <f>F92/$F$99</f>
        <v>0.14167357160284338</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237.54494967426146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96.270080005154213</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34742218.328785419</v>
      </c>
      <c r="D99" s="1614" t="s">
        <v>922</v>
      </c>
      <c r="E99" s="1615"/>
      <c r="F99" s="1616">
        <f>C99/'R&amp;C-Painel de Controle'!$D$8</f>
        <v>237.96039951222889</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2" t="s">
        <v>989</v>
      </c>
      <c r="C101" s="2123"/>
      <c r="D101" s="2123"/>
      <c r="E101" s="2123"/>
      <c r="F101" s="2123"/>
      <c r="G101" s="2123"/>
      <c r="H101" s="2124"/>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146000</v>
      </c>
      <c r="D103" s="1626" t="s">
        <v>249</v>
      </c>
      <c r="E103" s="1627"/>
      <c r="F103" s="1627"/>
      <c r="G103" s="1627"/>
      <c r="H103" s="1627"/>
    </row>
    <row r="104" spans="2:8" ht="15" hidden="1" customHeight="1" outlineLevel="1" x14ac:dyDescent="0.25">
      <c r="B104" s="1624" t="s">
        <v>975</v>
      </c>
      <c r="C104" s="1625">
        <f>C103/312</f>
        <v>467.94871794871796</v>
      </c>
      <c r="D104" s="1626" t="s">
        <v>21</v>
      </c>
      <c r="E104" s="1627"/>
      <c r="F104" s="1627"/>
      <c r="G104" s="1627"/>
      <c r="H104" s="1627"/>
    </row>
    <row r="105" spans="2:8" ht="15" hidden="1" customHeight="1" outlineLevel="1" x14ac:dyDescent="0.25">
      <c r="B105" s="1628" t="s">
        <v>977</v>
      </c>
      <c r="C105" s="1625">
        <f>'R&amp;C-Painel de Controle'!D48</f>
        <v>158291.85441674214</v>
      </c>
      <c r="D105" s="1626" t="s">
        <v>249</v>
      </c>
      <c r="E105" s="1627"/>
      <c r="F105" s="1627"/>
      <c r="G105" s="1627"/>
      <c r="H105" s="1627"/>
    </row>
    <row r="106" spans="2:8" ht="15" hidden="1" customHeight="1" outlineLevel="1" x14ac:dyDescent="0.25">
      <c r="B106" s="1628" t="s">
        <v>992</v>
      </c>
      <c r="C106" s="1625">
        <f>C105/312</f>
        <v>507.34568723314788</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1032</v>
      </c>
      <c r="C110" s="1839">
        <f>C103*1000/C102/365</f>
        <v>0.97182438161599816</v>
      </c>
      <c r="D110" s="1499" t="s">
        <v>1033</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65.75615384615385</v>
      </c>
      <c r="D112" s="1635" t="s">
        <v>971</v>
      </c>
      <c r="E112" s="1636"/>
      <c r="F112" s="1636"/>
      <c r="G112" s="1636"/>
      <c r="H112" s="1636"/>
    </row>
    <row r="113" spans="2:8" ht="15" hidden="1" customHeight="1" outlineLevel="1" x14ac:dyDescent="0.25">
      <c r="B113" s="1548"/>
      <c r="C113" s="1564">
        <f>C112*312*$C$106/$C$104/1000</f>
        <v>22.243171382640607</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188.85240384615383</v>
      </c>
      <c r="D115" s="1635" t="s">
        <v>971</v>
      </c>
      <c r="E115" s="1636"/>
      <c r="F115" s="1636"/>
      <c r="G115" s="1636"/>
      <c r="H115" s="1636"/>
    </row>
    <row r="116" spans="2:8" ht="15" hidden="1" customHeight="1" outlineLevel="1" x14ac:dyDescent="0.25">
      <c r="B116" s="1586"/>
      <c r="C116" s="1564">
        <f>C115*312*$C$106/$C$104/1000</f>
        <v>63.882635146236701</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213.34016025641029</v>
      </c>
      <c r="D118" s="1635" t="s">
        <v>971</v>
      </c>
      <c r="E118" s="1636"/>
      <c r="F118" s="1636"/>
      <c r="G118" s="1636"/>
      <c r="H118" s="1636"/>
    </row>
    <row r="119" spans="2:8" ht="15" hidden="1" customHeight="1" outlineLevel="1" thickBot="1" x14ac:dyDescent="0.3">
      <c r="B119" s="1581"/>
      <c r="C119" s="1664">
        <f>C118*312*$C$106/$C$104/1000</f>
        <v>72.166047887864835</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18" t="s">
        <v>981</v>
      </c>
      <c r="C121" s="1591"/>
      <c r="D121" s="1578"/>
      <c r="E121" s="1578"/>
      <c r="F121" s="1578"/>
      <c r="G121" s="1578"/>
      <c r="H121" s="1578"/>
    </row>
    <row r="122" spans="2:8" ht="15" hidden="1" customHeight="1" outlineLevel="1" x14ac:dyDescent="0.25">
      <c r="B122" s="2116"/>
      <c r="C122" s="1639">
        <f>'R-Resumo Bal. Massa'!D64</f>
        <v>37.318910256410263</v>
      </c>
      <c r="D122" s="1631" t="s">
        <v>971</v>
      </c>
      <c r="E122" s="1627"/>
      <c r="F122" s="1627"/>
      <c r="G122" s="1627"/>
      <c r="H122" s="1627"/>
    </row>
    <row r="123" spans="2:8" ht="15" hidden="1" customHeight="1" outlineLevel="1" x14ac:dyDescent="0.25">
      <c r="B123" s="2117"/>
      <c r="C123" s="1564">
        <f>C122*312*$C$106/$C$104/1000</f>
        <v>12.623775389735187</v>
      </c>
      <c r="D123" s="1579" t="s">
        <v>969</v>
      </c>
      <c r="E123" s="749"/>
      <c r="F123" s="749"/>
      <c r="G123" s="749"/>
      <c r="H123" s="749"/>
    </row>
    <row r="124" spans="2:8" ht="15" hidden="1" customHeight="1" outlineLevel="1" x14ac:dyDescent="0.25">
      <c r="B124" s="2115" t="s">
        <v>987</v>
      </c>
      <c r="C124" s="1590"/>
      <c r="D124" s="1585"/>
      <c r="E124" s="1585"/>
      <c r="F124" s="1585"/>
      <c r="G124" s="1585"/>
      <c r="H124" s="1585"/>
    </row>
    <row r="125" spans="2:8" ht="15" hidden="1" customHeight="1" outlineLevel="1" x14ac:dyDescent="0.25">
      <c r="B125" s="2116"/>
      <c r="C125" s="1639">
        <f>'R-Resumo Bal. Massa'!D73</f>
        <v>84.020192307692298</v>
      </c>
      <c r="D125" s="1631" t="s">
        <v>971</v>
      </c>
      <c r="E125" s="1627"/>
      <c r="F125" s="1627"/>
      <c r="G125" s="1627"/>
      <c r="H125" s="1627"/>
    </row>
    <row r="126" spans="2:8" ht="15" hidden="1" customHeight="1" outlineLevel="1" x14ac:dyDescent="0.25">
      <c r="B126" s="2117"/>
      <c r="C126" s="1564">
        <f>C125*312*$C$106/$C$104/1000</f>
        <v>28.421302460526046</v>
      </c>
      <c r="D126" s="1579" t="s">
        <v>969</v>
      </c>
      <c r="E126" s="749"/>
      <c r="F126" s="749"/>
      <c r="G126" s="749"/>
      <c r="H126" s="749"/>
    </row>
    <row r="127" spans="2:8" ht="15" hidden="1" customHeight="1" outlineLevel="1" x14ac:dyDescent="0.25">
      <c r="B127" s="2115" t="s">
        <v>970</v>
      </c>
      <c r="C127" s="1590"/>
      <c r="D127" s="1585"/>
      <c r="E127" s="1585"/>
      <c r="F127" s="1585"/>
      <c r="G127" s="1585"/>
      <c r="H127" s="1585"/>
    </row>
    <row r="128" spans="2:8" ht="15" hidden="1" customHeight="1" outlineLevel="1" x14ac:dyDescent="0.25">
      <c r="B128" s="2116"/>
      <c r="C128" s="1639">
        <f>'R-Resumo Bal. Massa'!D69</f>
        <v>92.001057692307697</v>
      </c>
      <c r="D128" s="1631" t="s">
        <v>971</v>
      </c>
      <c r="E128" s="1627"/>
      <c r="F128" s="1627"/>
      <c r="G128" s="1627"/>
      <c r="H128" s="1627"/>
    </row>
    <row r="129" spans="2:8" ht="15" hidden="1" customHeight="1" outlineLevel="1" x14ac:dyDescent="0.25">
      <c r="B129" s="2117"/>
      <c r="C129" s="1564">
        <f>C128*312*$C$106/$C$104/1000</f>
        <v>31.120970037603588</v>
      </c>
      <c r="D129" s="1587" t="s">
        <v>969</v>
      </c>
      <c r="E129" s="1588"/>
      <c r="F129" s="1588"/>
      <c r="G129" s="1588"/>
      <c r="H129" s="1588"/>
    </row>
    <row r="130" spans="2:8" ht="15" hidden="1" customHeight="1" outlineLevel="1" x14ac:dyDescent="0.25">
      <c r="B130" s="2115" t="s">
        <v>1029</v>
      </c>
      <c r="C130" s="1832">
        <f>IF('R-Definição'!E112&gt;0,'R-Definição'!O111/'R-Definição'!E112,0)</f>
        <v>0</v>
      </c>
      <c r="D130" s="1551" t="s">
        <v>1028</v>
      </c>
      <c r="E130" s="749"/>
      <c r="F130" s="749"/>
      <c r="G130" s="749"/>
      <c r="H130" s="749"/>
    </row>
    <row r="131" spans="2:8" ht="15" hidden="1" customHeight="1" outlineLevel="1" x14ac:dyDescent="0.25">
      <c r="B131" s="2116"/>
      <c r="C131" s="1833">
        <f>C130*C106</f>
        <v>0</v>
      </c>
      <c r="D131" s="1631" t="s">
        <v>973</v>
      </c>
      <c r="E131" s="1627"/>
      <c r="F131" s="1627"/>
      <c r="G131" s="1627"/>
      <c r="H131" s="1627"/>
    </row>
    <row r="132" spans="2:8" ht="15" hidden="1" customHeight="1" outlineLevel="1" x14ac:dyDescent="0.25">
      <c r="B132" s="2117"/>
      <c r="C132" s="1618">
        <f>C130*C105/1000</f>
        <v>0</v>
      </c>
      <c r="D132" s="1587" t="s">
        <v>257</v>
      </c>
      <c r="E132" s="1588"/>
      <c r="F132" s="1588"/>
      <c r="G132" s="1588"/>
      <c r="H132" s="1588"/>
    </row>
    <row r="133" spans="2:8" ht="15" hidden="1" customHeight="1" outlineLevel="1" x14ac:dyDescent="0.25">
      <c r="B133" s="2115" t="s">
        <v>1030</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116"/>
      <c r="C134" s="1667">
        <f>C133*C106*C107</f>
        <v>0</v>
      </c>
      <c r="D134" s="1631" t="s">
        <v>973</v>
      </c>
      <c r="E134" s="1627"/>
      <c r="F134" s="1627"/>
      <c r="G134" s="1627"/>
      <c r="H134" s="1627"/>
    </row>
    <row r="135" spans="2:8" ht="15" hidden="1" customHeight="1" outlineLevel="1" x14ac:dyDescent="0.25">
      <c r="B135" s="2117"/>
      <c r="C135" s="1618">
        <f>C133*C105*C107/1000</f>
        <v>0</v>
      </c>
      <c r="D135" s="1587" t="s">
        <v>257</v>
      </c>
      <c r="E135" s="1588"/>
      <c r="F135" s="1588"/>
      <c r="G135" s="1588"/>
      <c r="H135" s="1588"/>
    </row>
    <row r="136" spans="2:8" ht="15" hidden="1" customHeight="1" outlineLevel="1" x14ac:dyDescent="0.25">
      <c r="B136" s="2115" t="s">
        <v>236</v>
      </c>
      <c r="C136" s="1543">
        <f>IF(AND('R-Definição'!O62&gt;0,'R-Definição'!J64&gt;0),('R-Definição'!O70/('R-Definição'!O62*'R-Definição'!J64/100)),0)</f>
        <v>0</v>
      </c>
      <c r="D136" s="1668" t="s">
        <v>1002</v>
      </c>
      <c r="E136" s="749"/>
      <c r="F136" s="749"/>
      <c r="G136" s="749"/>
      <c r="H136" s="749"/>
    </row>
    <row r="137" spans="2:8" ht="15" hidden="1" customHeight="1" outlineLevel="1" x14ac:dyDescent="0.25">
      <c r="B137" s="2116"/>
      <c r="C137" s="1667">
        <f>C136*C106*C107</f>
        <v>0</v>
      </c>
      <c r="D137" s="1631" t="s">
        <v>974</v>
      </c>
      <c r="E137" s="1627"/>
      <c r="F137" s="1627"/>
      <c r="G137" s="1627"/>
      <c r="H137" s="1627"/>
    </row>
    <row r="138" spans="2:8" ht="15" hidden="1" customHeight="1" outlineLevel="1" x14ac:dyDescent="0.25">
      <c r="B138" s="2116"/>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3"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3"/>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1" t="str">
        <f>'R-Definição'!D2</f>
        <v>CIRSOP - Consórcio RSU Oeste Paulista</v>
      </c>
      <c r="R2" s="2132"/>
      <c r="S2" s="862"/>
      <c r="T2" s="864" t="s">
        <v>437</v>
      </c>
      <c r="U2" s="2131" t="str">
        <f>'R-Definição'!D3</f>
        <v>Biodigestão c/ Prod. E. Elétrica</v>
      </c>
      <c r="V2" s="2132"/>
      <c r="W2" s="319"/>
      <c r="X2" s="319"/>
      <c r="Y2" s="319"/>
      <c r="Z2" s="319"/>
      <c r="AA2" s="319"/>
      <c r="AB2" s="319"/>
    </row>
    <row r="3" spans="1:28" s="318" customFormat="1" ht="19.899999999999999" customHeight="1" x14ac:dyDescent="0.25">
      <c r="A3" s="427"/>
      <c r="B3" s="2133"/>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5" t="s">
        <v>640</v>
      </c>
      <c r="C9" s="901"/>
      <c r="D9" s="2128" t="s">
        <v>645</v>
      </c>
      <c r="E9" s="2129"/>
      <c r="F9" s="2129"/>
      <c r="G9" s="2129"/>
      <c r="H9" s="2129"/>
      <c r="I9" s="2129"/>
      <c r="J9" s="2129"/>
      <c r="K9" s="2129"/>
      <c r="L9" s="2129"/>
      <c r="M9" s="2129"/>
      <c r="N9" s="2129"/>
      <c r="O9" s="2129"/>
      <c r="P9" s="2129"/>
      <c r="Q9" s="2129"/>
      <c r="R9" s="2129"/>
      <c r="S9" s="2129"/>
      <c r="T9" s="2129"/>
      <c r="U9" s="2129"/>
      <c r="V9" s="2130"/>
      <c r="W9" s="857"/>
      <c r="X9" s="857"/>
      <c r="Y9" s="857"/>
      <c r="Z9" s="857"/>
      <c r="AA9" s="857"/>
      <c r="AB9" s="857"/>
    </row>
    <row r="10" spans="1:28" s="318" customFormat="1" ht="7.5" customHeight="1" x14ac:dyDescent="0.25">
      <c r="A10" s="427"/>
      <c r="B10" s="2126"/>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27"/>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0"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0"/>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row>
    <row r="3" spans="1:28"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4" t="s">
        <v>640</v>
      </c>
      <c r="C9" s="901"/>
      <c r="D9" s="2137" t="s">
        <v>644</v>
      </c>
      <c r="E9" s="2138"/>
      <c r="F9" s="2138"/>
      <c r="G9" s="2138"/>
      <c r="H9" s="2138"/>
      <c r="I9" s="2138"/>
      <c r="J9" s="2138"/>
      <c r="K9" s="2138"/>
      <c r="L9" s="2138"/>
      <c r="M9" s="2138"/>
      <c r="N9" s="2138"/>
      <c r="O9" s="2138"/>
      <c r="P9" s="2138"/>
      <c r="Q9" s="2138"/>
      <c r="R9" s="2138"/>
      <c r="S9" s="2138"/>
      <c r="T9" s="2138"/>
      <c r="U9" s="2138"/>
      <c r="V9" s="2139"/>
      <c r="W9" s="1069"/>
      <c r="X9" s="885"/>
      <c r="Y9" s="885"/>
      <c r="Z9" s="885"/>
      <c r="AA9" s="885"/>
      <c r="AB9" s="885"/>
    </row>
    <row r="10" spans="1:28" s="882" customFormat="1" ht="7.5" customHeight="1" x14ac:dyDescent="0.3">
      <c r="A10" s="991"/>
      <c r="B10" s="2135"/>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36"/>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LKPYVo5fB+rcigZAT3XKNpeDT8ONWuptSvNQVzHJ0c2WCoi3rUrfFMhhHkEYT2dHzew6Kms1MboFRdwafh9vA==" saltValue="c0cxpZT0to9UEjXyX/wOY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0"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0"/>
      <c r="C2" s="436"/>
      <c r="D2" s="899">
        <f>'R-Resumo Bal. Massa'!B30*(1+'R&amp;C-Painel de Controle'!H59)</f>
        <v>176.88461538461536</v>
      </c>
      <c r="E2" s="900" t="s">
        <v>21</v>
      </c>
      <c r="F2"/>
      <c r="G2"/>
      <c r="H2" s="1105">
        <f>D2*313</f>
        <v>55364.88461538461</v>
      </c>
      <c r="I2" s="1104" t="s">
        <v>249</v>
      </c>
      <c r="J2"/>
      <c r="K2"/>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0"/>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4" t="s">
        <v>640</v>
      </c>
      <c r="C9" s="901"/>
      <c r="D9" s="2137" t="s">
        <v>646</v>
      </c>
      <c r="E9" s="2138"/>
      <c r="F9" s="2138"/>
      <c r="G9" s="2138"/>
      <c r="H9" s="2138"/>
      <c r="I9" s="2138"/>
      <c r="J9" s="2138"/>
      <c r="K9" s="2138"/>
      <c r="L9" s="2138"/>
      <c r="M9" s="2138"/>
      <c r="N9" s="2138"/>
      <c r="O9" s="2138"/>
      <c r="P9" s="2138"/>
      <c r="Q9" s="2138"/>
      <c r="R9" s="2138"/>
      <c r="S9" s="2138"/>
      <c r="T9" s="2138"/>
      <c r="U9" s="2138"/>
      <c r="V9" s="2139"/>
    </row>
    <row r="10" spans="1:61" ht="7.5" customHeight="1" x14ac:dyDescent="0.25">
      <c r="B10" s="21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36"/>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f>(IF(I$7="SIM",(J17*('R&amp;C-Painel de Controle'!$D$60))/1000000,"-"))</f>
        <v>4.3499999999999996</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f>(IF(I$7="SIM",('R&amp;C-Painel de Controle'!$D$55+0.25)*H17/1000000,"-"))</f>
        <v>7.2499999999999995E-4</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f>IF(I7="SIM",(I15+I16)*J18*1000/$H$2,"-")</f>
        <v>1.0269408931841948E-2</v>
      </c>
      <c r="I18" s="846">
        <f>(IF(I$7="SIM",$H$2*H18/1000,"-"))</f>
        <v>0.56856464057962952</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f>IF(I7="SIM",SUM(I15:I18)*(1+H19),"-")</f>
        <v>24.477469026953049</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f>IF(I7="SIM",I19*1000000/$H$2,"-")</f>
        <v>442.1118042057895</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f>IF(I7="SIM",(I15*J15+I16*J16)/4,"-")</f>
        <v>0.51418964057962946</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f>(IF(I$7="SIM",(I31)*2.4*12/$H$2,"-"))</f>
        <v>13.524818216489626</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f>(IF(I$7="SIM",(I15*1000000*I36+I37*12)/$H$2,"-"))</f>
        <v>22.028932050196172</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f>(IF(I$7="SIM",H38*I39*I40*12/$H$2,"-"))</f>
        <v>0.54185970418628304</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f>(IF(I$7="SIM",2.5+2.5+1*'R&amp;C-Painel de Controle'!$D$74,"-"))</f>
        <v>8</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f>(IF(I$7="SIM",(I27+I32+I35+I38+I41)*(1+H42),"-"))</f>
        <v>48.505170967959288</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f>(IF(I$7="SIM",I42*$H$2/1000000,"-"))</f>
        <v>2.6854831938905694</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f>(IF(I$7="SIM",(((I27*$H$2/12)+(I34/1000*'R&amp;C-Painel de Controle'!$D$69*12)+(I37*12)+(I39*I40*12))/1000000),"-"))</f>
        <v>0.4224</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f>(IF(I$7="SIM",((I43-I44)*1000000)/$H$2,"-"))</f>
        <v>40.875786333016421</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9Os2vVjvqNNEWGuREcY+S3IQyoXTw0T5THnaeEEq/FJfRWtjS77QVezzvK7hU7T4NNrkTUp2gnbaotkoIN/e7w==" saltValue="ppi7ATeSTWSMpdGhKLbOV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0"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0"/>
      <c r="C2" s="436"/>
      <c r="D2" s="899">
        <f>'R-Resumo Bal. Massa'!B31*(1+'R&amp;C-Painel de Controle'!H62)</f>
        <v>0</v>
      </c>
      <c r="E2" s="900" t="s">
        <v>21</v>
      </c>
      <c r="H2" s="1105">
        <f>D2*313</f>
        <v>0</v>
      </c>
      <c r="I2" s="1104" t="s">
        <v>249</v>
      </c>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4" t="s">
        <v>640</v>
      </c>
      <c r="C9" s="901"/>
      <c r="D9" s="2137" t="s">
        <v>647</v>
      </c>
      <c r="E9" s="2138"/>
      <c r="F9" s="2138"/>
      <c r="G9" s="2138"/>
      <c r="H9" s="2138"/>
      <c r="I9" s="2138"/>
      <c r="J9" s="2138"/>
      <c r="K9" s="2138"/>
      <c r="L9" s="2138"/>
      <c r="M9" s="2138"/>
      <c r="N9" s="2138"/>
      <c r="O9" s="2138"/>
      <c r="P9" s="2138"/>
      <c r="Q9" s="2138"/>
      <c r="R9" s="2138"/>
      <c r="S9" s="2138"/>
      <c r="T9" s="2138"/>
      <c r="U9" s="2138"/>
      <c r="V9" s="2139"/>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5"/>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36"/>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qu6US47w5DPfGmOX+oYu3nqcadi82nfeH2kjWKJKpfYieHY5zyLDPzUZoPbHoaLA8Jw0ctBE4kWOK9HisjZYAg==" saltValue="CHDvr5MRmu97RSMhhvsMj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0"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0"/>
      <c r="C2" s="436"/>
      <c r="D2" s="899">
        <f>'R-Resumo Bal. Massa'!B35*(1+'R&amp;C-Painel de Controle'!H68)</f>
        <v>204.44679487179491</v>
      </c>
      <c r="E2" s="900" t="s">
        <v>391</v>
      </c>
      <c r="H2" s="1105">
        <f>D2*313</f>
        <v>63991.846794871803</v>
      </c>
      <c r="I2" s="1104" t="s">
        <v>392</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307"/>
      <c r="X2" s="307"/>
      <c r="Y2" s="307"/>
      <c r="Z2" s="307"/>
      <c r="AA2" s="307"/>
      <c r="AB2" s="68"/>
    </row>
    <row r="3" spans="1:61" ht="19.899999999999999" customHeight="1" x14ac:dyDescent="0.25">
      <c r="A3" s="762"/>
      <c r="B3" s="21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SIM</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4" t="s">
        <v>640</v>
      </c>
      <c r="C9" s="901"/>
      <c r="D9" s="2137" t="s">
        <v>648</v>
      </c>
      <c r="E9" s="2138"/>
      <c r="F9" s="2138"/>
      <c r="G9" s="2138"/>
      <c r="H9" s="2138"/>
      <c r="I9" s="2138"/>
      <c r="J9" s="2138"/>
      <c r="K9" s="2138"/>
      <c r="L9" s="2138"/>
      <c r="M9" s="2138"/>
      <c r="N9" s="2138"/>
      <c r="O9" s="2138"/>
      <c r="P9" s="2138"/>
      <c r="Q9" s="2138"/>
      <c r="R9" s="2138"/>
      <c r="S9" s="2138"/>
      <c r="T9" s="2138"/>
      <c r="U9" s="2138"/>
      <c r="V9" s="2139"/>
      <c r="W9" s="885"/>
      <c r="X9" s="885"/>
      <c r="Y9" s="885"/>
      <c r="Z9" s="885"/>
      <c r="AA9" s="885"/>
    </row>
    <row r="10" spans="1:61" ht="7.5" customHeight="1" x14ac:dyDescent="0.25">
      <c r="A10" s="762"/>
      <c r="B10" s="2135"/>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36"/>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f>(IF(Q$7="SIM",(((Q22*P15*1000+(3731520/1)*((Q22/5)/1.5))*Q21*(1+'R&amp;C-Painel de Controle'!$D$61))+((Q22*P15*1000+(3731520/1)*((Q22/5)/1.5))*(1-Q21)/$D$5*'R&amp;C-Painel de Controle'!$D$52*(1+'R&amp;C-Painel de Controle'!$D$54)))/1000000,"-"))</f>
        <v>11.902918566625642</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f>(IF(Q$7="SIM",(((P17-R17)*'R&amp;C-Painel de Controle'!$D$57*0.1)+(R17*('R&amp;C-Painel de Controle'!$D$60*0.25))+(250*(1+'R&amp;C-Painel de Controle'!$D$61)*((500/1)*Q22))+('R&amp;C-Painel de Controle'!$D$6*600*P16/100*(1+'R&amp;C-Painel de Controle'!$D$61)))/1000000,"-"))</f>
        <v>5.7654532425062417</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f>(IF(Q$7="SIM",2*(20*(20+(SQRT(R17))+20))+2*(20*(R17/(SQRT(R17))))+R17,"-"))</f>
        <v>17012.398696278655</v>
      </c>
      <c r="Q17" s="846">
        <f>(IF(Q$7="SIM",('R&amp;C-Painel de Controle'!$D$55+0.25)*P17/1000000,"-"))</f>
        <v>4.2530996740696636E-3</v>
      </c>
      <c r="R17" s="921">
        <f>IF(Q7="SIM",(500*Q22)*(1+1/2+1/2),"-")</f>
        <v>8177.8717948717967</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f>IF(Q7="SIM",(Q15+Q16)*R18*1000/$H$2,"-")</f>
        <v>1.3805174169897372E-2</v>
      </c>
      <c r="Q18" s="846">
        <f>(IF(Q$7="SIM",$H$2*P18/1000,""))</f>
        <v>0.88341859045659421</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f>IF(Q7="SIM",SUM(Q15:Q18)*(1+P19),"-")</f>
        <v>19.483845674225673</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f>IF(Q7="SIM",Q19*1000000/$H$2,"-")</f>
        <v>304.47387675310966</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f>IF(Q7="SIM",($D$2/125)*5,"-")</f>
        <v>8.1778717948717965</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f>IF(Q7="SIM",(Q15*R15+Q16*R16)/4,"-")</f>
        <v>1.1135735401110716</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f>(IF(Q$7="SIM",(Q31)*2.4*12/$H$2,"-"))</f>
        <v>8.6375841441579482</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f>IF(Q7="SIM",(Q22/5)*3,"-")</f>
        <v>4.9067230769230772</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f>IF(Q7="SIM",0.6*'R&amp;C-Painel de Controle'!$D$63*0.25+0.6*Q29*Q30/10*'R&amp;C-Painel de Controle'!$D$64*0.25+Q30*Q29*'R&amp;C-Painel de Controle'!$D$65,"-")</f>
        <v>19192.186153846156</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f>(IF(Q$7="SIM",(Q33*$H$2/1000*'R&amp;C-Painel de Controle'!$D$68+Q34/1000*'R&amp;C-Painel de Controle'!$D$69*12)/$H$2,"-"))</f>
        <v>0</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f>(IF(Q$7="SIM",(Q15*1000000*Q36+Q37*12)/$H$2,"-"))</f>
        <v>8.4006477557813071</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f>(IF(Q$7="SIM",P38*Q39*Q40*12/$H$2,"-"))</f>
        <v>1.1720243086656841</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f>(IF(Q$7="SIM",10+0.25*'R&amp;C-Painel de Controle'!$D$74+0.025*'R&amp;C-Painel de Controle'!$D$73,"-"))</f>
        <v>12.074999999999999</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f>(IF(Q$7="SIM",(Q27+Q32+Q35+Q38+Q41)*(1+P42),"-"))</f>
        <v>31.799519019035188</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f>(IF(Q$7="SIM",Q42*$H$2/1000000,"-"))</f>
        <v>2.0349099492167118</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f>(IF(Q$7="SIM",(((Q27*$H$2/12)+(Q34/1000*'R&amp;C-Painel de Controle'!$D$69*12)+(Q37*12)+(Q39*Q40*12))/1000000),"-"))</f>
        <v>0.58606124676923077</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f>(IF(Q$7="SIM",((Q43-Q44)*1000000)/$H$2,"-"))</f>
        <v>22.641145317962433</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0"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0"/>
      <c r="C2" s="436"/>
      <c r="D2" s="899">
        <f>'R-Resumo Bal. Massa'!B34*(1+'R&amp;C-Painel de Controle'!H65)</f>
        <v>0</v>
      </c>
      <c r="E2" s="900" t="s">
        <v>21</v>
      </c>
      <c r="H2" s="1105">
        <f>D2*313</f>
        <v>0</v>
      </c>
      <c r="I2" s="1104" t="s">
        <v>249</v>
      </c>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307"/>
      <c r="X2" s="307"/>
      <c r="Y2" s="307"/>
      <c r="Z2" s="307"/>
      <c r="AA2" s="307"/>
      <c r="AB2" s="307"/>
    </row>
    <row r="3" spans="1:28"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4" t="s">
        <v>640</v>
      </c>
      <c r="C9" s="901"/>
      <c r="D9" s="2137" t="s">
        <v>651</v>
      </c>
      <c r="E9" s="2138"/>
      <c r="F9" s="2138"/>
      <c r="G9" s="2138"/>
      <c r="H9" s="2138"/>
      <c r="I9" s="2138"/>
      <c r="J9" s="2138"/>
      <c r="K9" s="2138"/>
      <c r="L9" s="2138"/>
      <c r="M9" s="2138"/>
      <c r="N9" s="2138"/>
      <c r="O9" s="2138"/>
      <c r="P9" s="2138"/>
      <c r="Q9" s="2138"/>
      <c r="R9" s="2138"/>
      <c r="S9" s="2138"/>
      <c r="T9" s="2138"/>
      <c r="U9" s="2138"/>
      <c r="V9" s="2139"/>
      <c r="W9" s="1099"/>
      <c r="X9" s="1099"/>
      <c r="Y9" s="1099"/>
      <c r="Z9" s="1099"/>
      <c r="AA9" s="1112"/>
      <c r="AB9" s="885"/>
    </row>
    <row r="10" spans="1:28" ht="7.5" customHeight="1" x14ac:dyDescent="0.25">
      <c r="A10" s="406"/>
      <c r="B10" s="2135"/>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36"/>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BSLNWx3doqKYyUBKMo2kTfvMTdzxT1HIqH3xorfLas/ahNClS/rpTG95/bI5ydn56I19Bfy01TP0Kh4ZSanJlQ==" saltValue="c237xYisC04xqIE+J0CNY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0"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0"/>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0"/>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4" t="s">
        <v>640</v>
      </c>
      <c r="C9" s="901"/>
      <c r="D9" s="2137" t="s">
        <v>399</v>
      </c>
      <c r="E9" s="2138"/>
      <c r="F9" s="2138"/>
      <c r="G9" s="2138"/>
      <c r="H9" s="2138"/>
      <c r="I9" s="2138"/>
      <c r="J9" s="2138"/>
      <c r="K9" s="2138"/>
      <c r="L9" s="2138"/>
      <c r="M9" s="2138"/>
      <c r="N9" s="2138"/>
      <c r="O9" s="2138"/>
      <c r="P9" s="2138"/>
      <c r="Q9" s="2138"/>
      <c r="R9" s="2138"/>
      <c r="S9" s="2138"/>
      <c r="T9" s="2138"/>
      <c r="U9" s="2138"/>
      <c r="V9" s="2139"/>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5"/>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36"/>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E6xt3HqvQMZ34vpH7aXqChMTanjdmMO87KFa+8OImx++qNpZXunkvL1Z0/S5DsTFNEmqCDM0x1el9wsOBez4Yw==" saltValue="QpLddHkMIET0yRrnzFprb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0"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0"/>
      <c r="C2" s="436"/>
      <c r="D2" s="899">
        <f>IF('R-Definição'!E121="Novo",('R-Resumo Bal. Massa'!B47+'R&amp;C-Painel de Controle'!D31)*(1+'R&amp;C-Painel de Controle'!H74),0)</f>
        <v>248.85240384615389</v>
      </c>
      <c r="E2" s="900" t="s">
        <v>21</v>
      </c>
      <c r="H2" s="1105">
        <f>D2*313</f>
        <v>77890.802403846174</v>
      </c>
      <c r="I2" s="1104" t="s">
        <v>249</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0"/>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4" t="s">
        <v>640</v>
      </c>
      <c r="C9" s="901"/>
      <c r="D9" s="2137" t="s">
        <v>402</v>
      </c>
      <c r="E9" s="2138"/>
      <c r="F9" s="2138"/>
      <c r="G9" s="2138"/>
      <c r="H9" s="2138"/>
      <c r="I9" s="2138"/>
      <c r="J9" s="2138"/>
      <c r="K9" s="2138"/>
      <c r="L9" s="2138"/>
      <c r="M9" s="2138"/>
      <c r="N9" s="2138"/>
      <c r="O9" s="2138"/>
      <c r="P9" s="2138"/>
      <c r="Q9" s="2138"/>
      <c r="R9" s="2138"/>
      <c r="S9" s="2138"/>
      <c r="T9" s="2138"/>
      <c r="U9" s="2138"/>
      <c r="V9" s="2139"/>
    </row>
    <row r="10" spans="1:61" ht="7.5" customHeight="1" x14ac:dyDescent="0.25">
      <c r="A10" s="405"/>
      <c r="B10" s="21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36"/>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1.2148409003774039</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14.272315255593753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4.1379335550120198</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19.625089710983175</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251.95644550214709</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7.3259224662271629</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16.502935913585858</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1.8944821020845422</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1.0642052687078551</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0.83027683337668701</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1.5474235618856838E-2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1.5474235618856838E-2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0.18372654770009084</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t="str">
        <f>(IF(I$7="SIM",(H32*(1-(($D$2-H$11)/(J$11-H$11)))+J32*(1-((J$11-$D$2)/(J$11-H$11))))/1000000,"-"))</f>
        <v>-</v>
      </c>
      <c r="J32" s="1198">
        <f>24750.6194444444*(1+'R&amp;C-Painel de Controle'!$D$61)</f>
        <v>24750.619444444401</v>
      </c>
      <c r="K32" s="1185"/>
      <c r="L32" s="1197">
        <f t="shared" si="1"/>
        <v>24750.619444444401</v>
      </c>
      <c r="M32" s="377">
        <f>(IF(M$7="SIM",(L32*(1-(($D$2-L$11)/(N$11-L$11)))+N32*(1-((N$11-$D$2)/(N$11-L$11))))/1000000,"-"))</f>
        <v>4.5137047735470073E-2</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6.2247031547184847E-2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2.1861471754807695E-3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7.4156321241955162E-2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1.7758942783569776</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1.1342226651628176</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4.5813899391163197E-2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5.8650810396634626E-2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0.53720690340636224</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2.9472899081340134</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2.5841891377013213</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0.15192439254807696</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0.21117637788461538</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96.270080005154213</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7.4985537790839292</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2.1593616708749361</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68.547144764621763</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2023-03-07T19:53:54Z</dcterms:modified>
</cp:coreProperties>
</file>