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70EA9E19-1EF9-4C43-A593-EF8A0D307F39}" xr6:coauthVersionLast="47" xr6:coauthVersionMax="47" xr10:uidLastSave="{00000000-0000-0000-0000-000000000000}"/>
  <bookViews>
    <workbookView xWindow="40350" yWindow="0" windowWidth="26385" windowHeight="15000" tabRatio="882" firstSheet="1" activeTab="7"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Planilha1" sheetId="23" r:id="rId12"/>
    <sheet name="C-Triagem Man" sheetId="13" r:id="rId13"/>
    <sheet name="C-Triagem Mec" sheetId="14" r:id="rId14"/>
    <sheet name="C-Produção CDR-TM" sheetId="15" r:id="rId15"/>
    <sheet name="C-Produção CDR-TMB" sheetId="16" r:id="rId16"/>
    <sheet name="C-Compostagem" sheetId="17" r:id="rId17"/>
    <sheet name="C-Biodigestão" sheetId="18" r:id="rId18"/>
    <sheet name="C-Incineração" sheetId="19" r:id="rId19"/>
    <sheet name="C-Aterro Sanitário" sheetId="20" r:id="rId20"/>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C106" i="22" s="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8" i="22" l="1"/>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l="1"/>
  <c r="R30" i="22" s="1"/>
  <c r="P148" i="1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family val="2"/>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<sst xmlns="http://schemas.openxmlformats.org/spreadsheetml/2006/main" count="2692" uniqueCount="1131">
  <si>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</si>
  <si>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</si>
  <si>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</si>
  <si>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</si>
  <si>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</si>
  <si>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</si>
  <si>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</si>
  <si>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</si>
  <si>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</si>
  <si>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</si>
  <si>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</si>
  <si>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</si>
  <si>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</si>
  <si>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</si>
  <si>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</si>
  <si>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</si>
  <si>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</si>
  <si>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</si>
  <si>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</si>
  <si>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</si>
  <si>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</si>
  <si>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</si>
  <si>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</si>
  <si>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</si>
  <si>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</si>
  <si>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</si>
  <si>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</si>
  <si>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</si>
  <si>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</si>
  <si>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</si>
  <si>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</si>
  <si>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</si>
  <si>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</si>
  <si>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</si>
  <si>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</si>
  <si>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</si>
  <si>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</si>
  <si>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</si>
  <si>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</si>
  <si>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</si>
  <si>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</si>
  <si>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</si>
  <si>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</si>
  <si>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</si>
  <si>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</si>
  <si>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</si>
  <si>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</si>
  <si>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</si>
  <si>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</si>
  <si>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</si>
  <si>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</si>
  <si>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</si>
  <si>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</si>
  <si>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</si>
  <si>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</si>
  <si>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</si>
  <si>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</si>
  <si>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</si>
  <si>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</si>
  <si>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</si>
  <si>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</si>
  <si>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</si>
  <si>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</si>
  <si>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</si>
  <si>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</si>
  <si>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</si>
  <si>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</si>
  <si>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</si>
  <si>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</si>
  <si>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</si>
  <si>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</si>
  <si>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</si>
  <si>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</si>
  <si>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</si>
  <si>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</si>
  <si>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</si>
  <si>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</si>
  <si>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</si>
  <si>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</si>
  <si>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</si>
  <si>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</si>
  <si>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</si>
  <si>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</si>
  <si>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</si>
  <si>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</si>
  <si>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</si>
  <si>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</si>
  <si>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</si>
  <si>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</si>
  <si>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</si>
  <si>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</si>
  <si>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</si>
  <si>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</si>
  <si>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</si>
  <si>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</si>
  <si>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</si>
  <si>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</si>
  <si>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</si>
  <si>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</si>
  <si>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</si>
  <si>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</si>
  <si>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</si>
  <si>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</si>
  <si>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</si>
  <si>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</si>
  <si>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</si>
  <si>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</si>
  <si>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</si>
  <si>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</si>
  <si>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</si>
  <si>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</si>
  <si>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</si>
  <si>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</si>
  <si>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</si>
  <si>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</si>
  <si>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</si>
  <si>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</si>
  <si>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</si>
  <si>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</si>
  <si>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</si>
  <si>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</si>
  <si>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</si>
  <si>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</si>
  <si>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</si>
  <si>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</si>
  <si>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</si>
  <si>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</si>
  <si>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</si>
  <si>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</si>
  <si>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</si>
  <si>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</si>
  <si>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</si>
  <si>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</si>
  <si>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</si>
  <si>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</si>
  <si>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</si>
  <si>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</si>
  <si>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</si>
  <si>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</si>
  <si>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</si>
  <si>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</si>
  <si>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</si>
  <si>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</si>
  <si>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</si>
  <si>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</si>
  <si>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</si>
  <si>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</si>
  <si>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</si>
  <si>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</si>
  <si>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</si>
  <si>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</si>
  <si>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</si>
  <si>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</si>
  <si>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</si>
  <si>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</si>
  <si>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</si>
  <si>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</si>
  <si>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</si>
  <si>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</si>
  <si>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</si>
  <si>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</si>
  <si>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</si>
  <si>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</si>
  <si>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</si>
  <si>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</si>
  <si>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</si>
  <si>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</si>
  <si>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</si>
  <si>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</si>
  <si>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</si>
  <si>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</si>
  <si>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</si>
  <si>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</si>
  <si>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</si>
  <si>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</si>
  <si>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</si>
  <si>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</si>
  <si>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</si>
  <si>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</si>
  <si>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</si>
  <si>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</si>
  <si>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</si>
  <si>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</si>
  <si>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</si>
  <si>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</si>
  <si>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</si>
  <si>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</si>
  <si>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</si>
  <si>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</si>
  <si>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</si>
  <si>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</si>
  <si>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</si>
  <si>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</si>
  <si>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</si>
  <si>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</si>
  <si>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</si>
  <si>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</si>
  <si>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</si>
  <si>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</si>
  <si>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</si>
  <si>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</si>
  <si>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</si>
  <si>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</si>
  <si>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</si>
  <si>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</si>
  <si>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</si>
  <si>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</si>
  <si>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</si>
  <si>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</si>
  <si>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</si>
  <si>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</si>
  <si>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</si>
  <si>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</si>
  <si>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</si>
  <si>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</si>
  <si>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</si>
  <si>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</si>
  <si>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</si>
  <si>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</si>
  <si>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</si>
  <si>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</si>
  <si>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</si>
  <si>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</si>
  <si>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</si>
  <si>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</si>
  <si>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</si>
  <si>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</si>
  <si>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</si>
  <si>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</si>
  <si>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</si>
  <si>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</si>
  <si>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</si>
  <si>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</si>
  <si>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</si>
  <si>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</si>
  <si>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</si>
  <si>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</si>
  <si>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</si>
  <si>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</si>
  <si>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</si>
  <si>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</si>
  <si>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</si>
  <si>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</si>
  <si>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</si>
  <si>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</si>
  <si>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</si>
  <si>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</si>
  <si>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</si>
  <si>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</si>
  <si>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</si>
  <si>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</si>
  <si>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</si>
  <si>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</si>
  <si>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</si>
  <si>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</si>
  <si>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</si>
  <si>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</si>
  <si>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</si>
  <si>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</si>
  <si>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</si>
  <si>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</si>
  <si>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</si>
  <si>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</si>
  <si>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</si>
  <si>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</si>
  <si>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</si>
  <si>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</si>
  <si>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</si>
  <si>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</si>
  <si>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</si>
  <si>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</si>
  <si>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</si>
  <si>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</si>
  <si>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</si>
  <si>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</si>
  <si>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</si>
  <si>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</si>
  <si>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</si>
  <si>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</si>
  <si>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</si>
  <si>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</si>
  <si>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</si>
  <si>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</si>
  <si>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</si>
  <si>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</si>
  <si>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</si>
  <si>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</si>
  <si>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</si>
  <si>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</si>
  <si>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</si>
  <si>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</si>
  <si>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</si>
  <si>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</si>
  <si>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</si>
  <si>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</si>
  <si>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</si>
  <si>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</si>
  <si>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</si>
  <si>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</si>
  <si>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</si>
  <si>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</si>
  <si>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</si>
  <si>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</si>
  <si>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</si>
  <si>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</si>
  <si>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</si>
  <si>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</si>
  <si>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</si>
  <si>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</si>
  <si>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</si>
  <si>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</si>
  <si>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</si>
  <si>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</si>
  <si>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</si>
  <si>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</si>
  <si>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</si>
  <si>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</si>
  <si>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</si>
  <si>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</si>
  <si>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</si>
  <si>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</si>
  <si>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</si>
  <si>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</si>
  <si>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</si>
  <si>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</si>
  <si>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</si>
  <si>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</si>
  <si>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</si>
  <si>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</si>
  <si>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</si>
  <si>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</si>
  <si>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</si>
  <si>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</si>
  <si>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</si>
  <si>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</si>
  <si>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</si>
  <si>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</si>
  <si>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</si>
  <si>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</si>
  <si>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</si>
  <si>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</si>
  <si>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</si>
  <si>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</si>
  <si>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</si>
  <si>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</si>
  <si>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</si>
  <si>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</si>
  <si>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</si>
  <si>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</si>
  <si>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</si>
  <si>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</si>
  <si>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</si>
  <si>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</si>
  <si>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</si>
  <si>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</si>
  <si>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</si>
  <si>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</si>
  <si>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</si>
  <si>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</si>
  <si>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</si>
  <si>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</si>
  <si>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</si>
  <si>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</si>
  <si>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</si>
  <si>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</si>
  <si>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</si>
  <si>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</si>
  <si>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</si>
  <si>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</si>
  <si>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</si>
  <si>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</si>
  <si>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</si>
  <si>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</si>
  <si>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</si>
  <si>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</si>
  <si>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</si>
  <si>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</si>
  <si>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</si>
  <si>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</si>
  <si>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</si>
  <si>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</si>
  <si>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</si>
  <si>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</si>
  <si>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</si>
  <si>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</si>
  <si>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</si>
  <si>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</si>
  <si>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</si>
  <si>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</si>
  <si>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</si>
  <si>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</si>
  <si>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</si>
  <si>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</si>
  <si>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</si>
  <si>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</si>
  <si>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</si>
  <si>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</si>
  <si>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</si>
  <si>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</si>
  <si>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</si>
  <si>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</si>
  <si>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</si>
  <si>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</si>
  <si>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</si>
  <si>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</si>
  <si>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</si>
  <si>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</si>
  <si>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</si>
  <si>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</si>
  <si>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</si>
  <si>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</si>
  <si>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</si>
  <si>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</si>
  <si>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</si>
  <si>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</si>
  <si>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</si>
  <si>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</si>
  <si>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</si>
  <si>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</si>
  <si>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</si>
  <si>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</si>
  <si>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</si>
  <si>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</si>
  <si>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</si>
  <si>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</si>
  <si>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</si>
  <si>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</si>
  <si>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</si>
  <si>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</si>
  <si>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</si>
  <si>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</si>
  <si>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</si>
  <si>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</si>
  <si>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</si>
  <si>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</si>
  <si>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</si>
  <si>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</si>
  <si>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</si>
  <si>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</si>
  <si>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</si>
  <si>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</si>
  <si>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</si>
  <si>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</si>
  <si>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</si>
  <si>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</si>
  <si>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</si>
  <si>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</si>
  <si>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</si>
  <si>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</si>
  <si>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</si>
  <si>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</si>
  <si>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</si>
  <si>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</si>
  <si>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</si>
  <si>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</si>
  <si>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</si>
  <si>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</si>
  <si>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</si>
  <si>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</si>
  <si>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</si>
  <si>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</si>
  <si>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</si>
  <si>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</si>
  <si>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</si>
  <si>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</si>
  <si>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</si>
  <si>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</si>
  <si>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</si>
  <si>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</si>
  <si>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</si>
  <si>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</si>
  <si>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</si>
  <si>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</si>
  <si>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</si>
  <si>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</si>
  <si>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</si>
  <si>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</si>
  <si>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</si>
  <si>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</si>
  <si>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</si>
  <si>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</si>
  <si>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</si>
  <si>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</si>
  <si>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</si>
  <si>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</si>
  <si>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</si>
  <si>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</si>
  <si>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</si>
  <si>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</si>
  <si>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</si>
  <si>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</si>
  <si>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</si>
  <si>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</si>
  <si>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</si>
  <si>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</si>
  <si>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</si>
  <si>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</si>
  <si>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</si>
  <si>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</si>
  <si>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</si>
  <si>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</si>
  <si>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</si>
  <si>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</si>
  <si>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</si>
  <si>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</si>
  <si>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</si>
  <si>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</si>
  <si>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</si>
  <si>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</si>
  <si>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</si>
  <si>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</si>
  <si>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</si>
  <si>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</si>
  <si>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</si>
  <si>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</si>
  <si>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</si>
  <si>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</si>
  <si>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</si>
  <si>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</si>
  <si>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</si>
  <si>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</si>
  <si>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</si>
  <si>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</si>
  <si>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</si>
  <si>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</si>
  <si>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</si>
  <si>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</si>
  <si>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</si>
  <si>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</si>
  <si>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</si>
  <si>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</si>
  <si>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</si>
  <si>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</si>
  <si>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</si>
  <si>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</si>
  <si>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</si>
  <si>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</si>
  <si>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</si>
  <si>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</si>
  <si>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</si>
  <si>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</si>
  <si>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</si>
  <si>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</si>
  <si>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</si>
  <si>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</si>
  <si>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</si>
  <si>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</si>
  <si>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</si>
  <si>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</si>
  <si>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</si>
  <si>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</si>
  <si>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</si>
  <si>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</si>
  <si>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</si>
  <si>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</si>
  <si>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</si>
  <si>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</si>
  <si>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</si>
  <si>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</si>
  <si>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</si>
  <si>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</si>
  <si>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</si>
  <si>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</si>
  <si>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</si>
  <si>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</si>
  <si>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</si>
  <si>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</si>
  <si>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</si>
  <si>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</si>
  <si>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</si>
  <si>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</si>
  <si>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</si>
  <si>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</si>
  <si>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</si>
  <si>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</si>
  <si>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</si>
  <si>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</si>
  <si>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</si>
  <si>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</si>
  <si>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</si>
  <si>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</si>
  <si>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</si>
  <si>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</si>
  <si>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</si>
  <si>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</si>
  <si>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</si>
  <si>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</si>
  <si>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</si>
  <si>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</si>
  <si>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</si>
  <si>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</si>
  <si>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</si>
  <si>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</si>
  <si>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</si>
  <si>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</si>
  <si>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</si>
  <si>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</si>
  <si>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</si>
  <si>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</si>
  <si>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</si>
  <si>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</si>
  <si>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</si>
  <si>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</si>
  <si>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</si>
  <si>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</si>
  <si>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</si>
  <si>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</si>
  <si>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</si>
  <si>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</si>
  <si>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</si>
  <si>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</si>
  <si>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</si>
  <si>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</si>
  <si>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</si>
  <si>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</si>
  <si>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</si>
  <si>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</si>
  <si>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</si>
  <si>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</si>
  <si>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</si>
  <si>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</si>
  <si>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</si>
  <si>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</si>
  <si>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</si>
  <si>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</si>
  <si>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</si>
  <si>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</si>
  <si>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</si>
  <si>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</si>
  <si>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</si>
  <si>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</si>
  <si>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</si>
  <si>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</si>
  <si>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</si>
  <si>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</si>
  <si>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</si>
  <si>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</si>
  <si>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</si>
  <si>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</si>
  <si>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</si>
  <si>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</si>
  <si>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</si>
  <si>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</si>
  <si>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</si>
  <si>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</si>
  <si>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</si>
  <si>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</si>
  <si>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</si>
  <si>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</si>
  <si>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</si>
  <si>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</si>
  <si>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</si>
  <si>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</si>
  <si>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</si>
  <si>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</si>
  <si>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</si>
  <si>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</si>
  <si>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</si>
  <si>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</si>
  <si>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</si>
  <si>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</si>
  <si>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</si>
  <si>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</si>
  <si>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</si>
  <si>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</si>
  <si>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</si>
  <si>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</si>
  <si>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</si>
  <si>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</si>
  <si>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</si>
  <si>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</si>
  <si>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</si>
  <si>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</si>
  <si>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</si>
  <si>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</si>
  <si>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</si>
  <si>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</si>
  <si>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</si>
  <si>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</si>
  <si>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</si>
  <si>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</si>
  <si>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</si>
  <si>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</si>
  <si>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</si>
  <si>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</si>
  <si>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</si>
  <si>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</si>
  <si>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</si>
  <si>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</si>
  <si>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</si>
  <si>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</si>
  <si>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</si>
  <si>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</si>
  <si>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</si>
  <si>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</si>
  <si>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</si>
  <si>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</si>
  <si>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</si>
  <si>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</si>
  <si>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</si>
  <si>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</si>
  <si>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</si>
  <si>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</si>
  <si>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</si>
  <si>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</si>
  <si>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</si>
  <si>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</si>
  <si>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</si>
  <si>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</si>
  <si>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</si>
  <si>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</si>
  <si>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</si>
  <si>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</si>
  <si>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</si>
  <si>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</si>
  <si>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</si>
  <si>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</si>
  <si>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</si>
  <si>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</si>
  <si>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</si>
  <si>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</si>
  <si>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</si>
  <si>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</si>
  <si>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</si>
  <si>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</si>
  <si>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</si>
  <si>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</si>
  <si>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</si>
  <si>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</si>
  <si>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</si>
  <si>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</si>
  <si>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</si>
  <si>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</si>
  <si>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</si>
  <si>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</si>
  <si>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</si>
  <si>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</si>
  <si>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</si>
  <si>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</si>
  <si>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</si>
  <si>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</si>
  <si>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</si>
  <si>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</si>
  <si>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</si>
  <si>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</si>
  <si>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</si>
  <si>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</si>
  <si>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</si>
  <si>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</si>
  <si>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</si>
  <si>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</si>
  <si>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</si>
  <si>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</si>
  <si>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</si>
  <si>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</si>
  <si>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</si>
  <si>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</si>
  <si>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</si>
  <si>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</si>
  <si>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</si>
  <si>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</si>
  <si>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</si>
  <si>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</si>
  <si>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</si>
  <si>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</si>
  <si>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</si>
  <si>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</si>
  <si>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</si>
  <si>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</si>
  <si>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</si>
  <si>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</si>
  <si>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</si>
  <si>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</si>
  <si>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</si>
  <si>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</si>
  <si>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</si>
  <si>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</si>
  <si>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</si>
  <si>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</si>
  <si>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</si>
  <si>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</si>
  <si>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</si>
  <si>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</si>
  <si>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</si>
  <si>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</si>
  <si>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</si>
  <si>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</si>
  <si>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</si>
  <si>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</si>
  <si>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</si>
  <si>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</si>
  <si>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</si>
  <si>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</si>
  <si>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</si>
  <si>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</si>
  <si>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</si>
  <si>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</si>
  <si>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</si>
  <si>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</si>
  <si>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</si>
  <si>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</si>
  <si>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</si>
  <si>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</si>
  <si>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</si>
  <si>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</si>
  <si>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</si>
  <si>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</si>
  <si>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</si>
  <si>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</si>
  <si>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</si>
  <si>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</si>
  <si>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</si>
  <si>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</si>
  <si>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</si>
  <si>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</si>
  <si>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</si>
  <si>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</si>
  <si>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</si>
  <si>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</si>
  <si>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</si>
  <si>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</si>
  <si>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</si>
  <si>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</si>
  <si>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</si>
  <si>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</si>
  <si>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</si>
  <si>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</si>
  <si>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</si>
  <si>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</si>
  <si>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</si>
  <si>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</si>
  <si>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</si>
  <si>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</si>
  <si>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</si>
  <si>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</si>
  <si>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</si>
  <si>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</si>
  <si>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</si>
  <si>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</si>
  <si>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</si>
  <si>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</si>
  <si>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</si>
  <si>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</si>
  <si>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</si>
  <si>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</si>
  <si>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</si>
  <si>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</si>
  <si>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</si>
  <si>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</si>
  <si>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</si>
  <si>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</si>
  <si>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</si>
  <si>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</si>
  <si>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</si>
  <si>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</si>
  <si>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</si>
  <si>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</si>
  <si>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</si>
  <si>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</si>
  <si>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</si>
  <si>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</si>
  <si>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</si>
  <si>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</si>
  <si>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</si>
  <si>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</si>
  <si>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</si>
  <si>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</si>
  <si>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</si>
  <si>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</si>
  <si>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</si>
  <si>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</si>
  <si>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</si>
  <si>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</si>
  <si>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</si>
  <si>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</si>
  <si>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</si>
  <si>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</si>
  <si>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</si>
  <si>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</si>
  <si>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</si>
  <si>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</si>
  <si>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</si>
  <si>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</si>
  <si>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</si>
  <si>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</si>
  <si>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</si>
  <si>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</si>
  <si>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</si>
  <si>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</si>
  <si>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</si>
  <si>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</si>
  <si>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</si>
  <si>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</si>
  <si>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</si>
  <si>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</si>
  <si>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</si>
  <si>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</si>
  <si>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</si>
  <si>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</si>
  <si>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</si>
  <si>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</si>
  <si>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</si>
  <si>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</si>
  <si>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</si>
  <si>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</si>
  <si>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</si>
  <si>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</si>
  <si>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</si>
  <si>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</si>
  <si>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</si>
  <si>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</si>
  <si>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</si>
  <si>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</si>
  <si>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</si>
  <si>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</si>
  <si>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</si>
  <si>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</si>
  <si>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</si>
  <si>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</si>
  <si>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</si>
  <si>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</si>
  <si>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</si>
  <si>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</si>
  <si>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</si>
  <si>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</si>
  <si>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</si>
  <si>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</si>
  <si>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</si>
  <si>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</si>
  <si>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</si>
  <si>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</si>
  <si>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</si>
  <si>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</si>
  <si>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</si>
  <si>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</si>
  <si>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</si>
  <si>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</si>
  <si>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</si>
  <si>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</si>
  <si>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</si>
  <si>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</si>
  <si>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</si>
  <si>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</si>
  <si>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</si>
  <si>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</si>
  <si>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</si>
  <si>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</si>
  <si>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</si>
  <si>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</si>
  <si>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</si>
  <si>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</si>
  <si>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</si>
  <si>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</si>
  <si>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</si>
  <si>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</si>
  <si>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</si>
  <si>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</si>
  <si>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</si>
  <si>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</si>
  <si>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</si>
  <si>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</si>
  <si>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</si>
  <si>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</si>
  <si>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</si>
  <si>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</si>
  <si>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</si>
  <si>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</si>
  <si>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</si>
  <si>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</si>
  <si>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</si>
  <si>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</si>
  <si>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</si>
  <si>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</si>
  <si>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</si>
  <si>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</si>
  <si>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</si>
  <si>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</si>
  <si>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</si>
  <si>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</si>
  <si>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</si>
  <si>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</si>
  <si>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</si>
  <si>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</si>
  <si>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</si>
  <si>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</si>
  <si>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</si>
  <si>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</si>
  <si>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</si>
  <si>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</si>
  <si>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</si>
  <si>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</si>
  <si>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</si>
  <si>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</si>
  <si>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</si>
  <si>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</si>
  <si>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</si>
  <si>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</si>
  <si>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</si>
  <si>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</si>
  <si>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</si>
  <si>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</si>
  <si>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</si>
  <si>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</si>
  <si>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</si>
  <si>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</si>
  <si>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</si>
  <si>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</si>
  <si>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</si>
  <si>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</si>
  <si>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</si>
  <si>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</si>
  <si>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</si>
  <si>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</si>
  <si>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</si>
  <si>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</si>
  <si>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</si>
  <si>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</si>
  <si>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</si>
  <si>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</si>
  <si>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</si>
  <si>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</si>
  <si>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</si>
  <si>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</si>
  <si>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</si>
  <si>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</si>
  <si>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</si>
  <si>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</si>
  <si>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</si>
  <si>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</si>
  <si>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</si>
  <si>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</si>
  <si>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</si>
  <si>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</si>
  <si>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</si>
  <si>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</si>
  <si>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</si>
  <si>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</si>
  <si>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</si>
  <si>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</si>
  <si>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</si>
  <si>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</si>
  <si>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</si>
  <si>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</si>
  <si>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</si>
  <si>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</si>
  <si>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</si>
  <si>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</si>
  <si>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</si>
  <si>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</si>
  <si>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</si>
  <si>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</si>
  <si>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</si>
  <si>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</si>
  <si>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</si>
  <si>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</si>
  <si>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</si>
  <si>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</si>
  <si>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</si>
  <si>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</si>
  <si>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</si>
  <si>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</si>
  <si>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</si>
  <si>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</si>
  <si>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</si>
  <si>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</si>
  <si>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</si>
  <si>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</si>
  <si>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</si>
  <si>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</si>
  <si>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</si>
  <si>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</si>
  <si>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</si>
  <si>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</si>
  <si>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</si>
  <si>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</si>
  <si>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</si>
  <si>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</si>
  <si>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</si>
  <si>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</si>
  <si>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</si>
  <si>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</si>
  <si>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</si>
  <si>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</si>
  <si>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</si>
  <si>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</si>
  <si>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</si>
  <si>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</si>
  <si>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</si>
  <si>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</si>
  <si>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</si>
  <si>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</si>
  <si>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</si>
  <si>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</si>
  <si>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</si>
  <si>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</si>
  <si>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</si>
  <si>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</si>
  <si>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</si>
  <si>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</si>
  <si>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</si>
  <si>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</si>
  <si>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</si>
  <si>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</si>
  <si>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</si>
  <si>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</si>
  <si>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</si>
  <si>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</si>
  <si>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</si>
  <si>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</si>
  <si>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</si>
  <si>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</si>
  <si>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</si>
  <si>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</si>
  <si>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</si>
  <si>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</si>
  <si>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</si>
  <si>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</si>
  <si>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</si>
  <si>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</si>
  <si>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</si>
  <si>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</si>
  <si>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</si>
  <si>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</si>
  <si>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</si>
  <si>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</si>
  <si>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</si>
  <si>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RT1</t>
  </si>
  <si>
    <t>Opex</t>
  </si>
  <si>
    <t>RT2</t>
  </si>
  <si>
    <t>RT3</t>
  </si>
  <si>
    <t>RT4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</si>
</sst>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0" fontId="0" fillId="0" borderId="0" xfId="0" applyFont="1" applyAlignment="1"/>
    <xf numFmtId="1" fontId="0" fillId="0" borderId="0" xfId="0" applyNumberFormat="1" applyFont="1" applyAlignment="1"/>
    <xf numFmtId="3" fontId="0" fillId="0" borderId="0" xfId="0" applyNumberFormat="1" applyFont="1" applyAlignment="1"/>
    <xf numFmtId="1" fontId="0" fillId="0" borderId="0" xfId="0" applyNumberFormat="1" applyFont="1" applyAlignment="1">
      <alignment horizont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481.70440575329502</c:v>
                </c:pt>
                <c:pt idx="3">
                  <c:v>189.85798146143534</c:v>
                </c:pt>
                <c:pt idx="4">
                  <c:v>0</c:v>
                </c:pt>
                <c:pt idx="5">
                  <c:v>493.54797314896615</c:v>
                </c:pt>
                <c:pt idx="6">
                  <c:v>112.42272323610344</c:v>
                </c:pt>
                <c:pt idx="7">
                  <c:v>0</c:v>
                </c:pt>
                <c:pt idx="8">
                  <c:v>112.929515614591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480.16541404162308</c:v>
                </c:pt>
                <c:pt idx="3">
                  <c:v>500.66509640421106</c:v>
                </c:pt>
                <c:pt idx="4">
                  <c:v>0</c:v>
                </c:pt>
                <c:pt idx="5">
                  <c:v>1126.0497655386259</c:v>
                </c:pt>
                <c:pt idx="6">
                  <c:v>301.7611923756819</c:v>
                </c:pt>
                <c:pt idx="7">
                  <c:v>0</c:v>
                </c:pt>
                <c:pt idx="8">
                  <c:v>239.86256565923992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74.488198090302532</c:v>
                </c:pt>
                <c:pt idx="3">
                  <c:v>18.500296876605329</c:v>
                </c:pt>
                <c:pt idx="4">
                  <c:v>0</c:v>
                </c:pt>
                <c:pt idx="5">
                  <c:v>29.9302781594598</c:v>
                </c:pt>
                <c:pt idx="6">
                  <c:v>11.589843853512441</c:v>
                </c:pt>
                <c:pt idx="7">
                  <c:v>0</c:v>
                </c:pt>
                <c:pt idx="8">
                  <c:v>43.198988242237817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74.250216626755233</c:v>
                </c:pt>
                <c:pt idx="3">
                  <c:v>48.786218245523457</c:v>
                </c:pt>
                <c:pt idx="4">
                  <c:v>0</c:v>
                </c:pt>
                <c:pt idx="5">
                  <c:v>68.287146412397661</c:v>
                </c:pt>
                <c:pt idx="6">
                  <c:v>31.109058738409377</c:v>
                </c:pt>
                <c:pt idx="7">
                  <c:v>0</c:v>
                </c:pt>
                <c:pt idx="8" formatCode="0">
                  <c:v>91.754756028792414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51.334528479498417</c:v>
                </c:pt>
                <c:pt idx="4" formatCode="#,##0">
                  <c:v>0</c:v>
                </c:pt>
                <c:pt idx="5" formatCode="#,##0">
                  <c:v>118.6300425901883</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615</c:v>
                </c:pt>
                <c:pt idx="1">
                  <c:v>0</c:v>
                </c:pt>
                <c:pt idx="2">
                  <c:v>616.97115384615392</c:v>
                </c:pt>
                <c:pt idx="3">
                  <c:v>233.21509615384616</c:v>
                </c:pt>
                <c:pt idx="4">
                  <c:v>0</c:v>
                </c:pt>
                <c:pt idx="5">
                  <c:v>269.55469711538467</c:v>
                </c:pt>
                <c:pt idx="6">
                  <c:v>229.12149254807693</c:v>
                </c:pt>
                <c:pt idx="7">
                  <c:v>0</c:v>
                </c:pt>
                <c:pt idx="8">
                  <c:v>238.12261874999999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-51.712456804510978</c:v>
                </c:pt>
                <c:pt idx="1">
                  <c:v>-142.52228218725014</c:v>
                </c:pt>
                <c:pt idx="2">
                  <c:v>-226.61714765704107</c:v>
                </c:pt>
                <c:pt idx="3">
                  <c:v>-224.69907968775414</c:v>
                </c:pt>
                <c:pt idx="4">
                  <c:v>-222.65052727594863</c:v>
                </c:pt>
                <c:pt idx="5">
                  <c:v>-220.47087714474472</c:v>
                </c:pt>
                <c:pt idx="6">
                  <c:v>-218.15951313486121</c:v>
                </c:pt>
                <c:pt idx="7">
                  <c:v>-215.71581619106834</c:v>
                </c:pt>
                <c:pt idx="8">
                  <c:v>-213.13916434857674</c:v>
                </c:pt>
                <c:pt idx="9">
                  <c:v>-210.42893271936251</c:v>
                </c:pt>
                <c:pt idx="10">
                  <c:v>-207.58449347842804</c:v>
                </c:pt>
                <c:pt idx="11">
                  <c:v>-204.60521584999827</c:v>
                </c:pt>
                <c:pt idx="12">
                  <c:v>-201.49046609365195</c:v>
                </c:pt>
                <c:pt idx="13">
                  <c:v>-198.23960749038787</c:v>
                </c:pt>
                <c:pt idx="14">
                  <c:v>-194.85200032862554</c:v>
                </c:pt>
                <c:pt idx="15">
                  <c:v>-191.32700189014</c:v>
                </c:pt>
                <c:pt idx="16">
                  <c:v>-187.66396643593066</c:v>
                </c:pt>
                <c:pt idx="17">
                  <c:v>-183.86224519202364</c:v>
                </c:pt>
                <c:pt idx="18">
                  <c:v>-179.92118633520732</c:v>
                </c:pt>
                <c:pt idx="19">
                  <c:v>-175.84013497870106</c:v>
                </c:pt>
                <c:pt idx="20">
                  <c:v>-171.61843315775627</c:v>
                </c:pt>
                <c:pt idx="21">
                  <c:v>-167.25541981519012</c:v>
                </c:pt>
                <c:pt idx="22">
                  <c:v>-162.75043078685101</c:v>
                </c:pt>
                <c:pt idx="23">
                  <c:v>-158.10279878701579</c:v>
                </c:pt>
                <c:pt idx="24">
                  <c:v>-153.31185339371842</c:v>
                </c:pt>
                <c:pt idx="25">
                  <c:v>-148.37692103400963</c:v>
                </c:pt>
                <c:pt idx="26">
                  <c:v>-143.29732496914727</c:v>
                </c:pt>
                <c:pt idx="27">
                  <c:v>-138.07238527971717</c:v>
                </c:pt>
                <c:pt idx="28">
                  <c:v>-132.70141885068381</c:v>
                </c:pt>
                <c:pt idx="29">
                  <c:v>-127.18373935637108</c:v>
                </c:pt>
                <c:pt idx="30">
                  <c:v>-121.51865724537215</c:v>
                </c:pt>
                <c:pt idx="31">
                  <c:v>-115.70547972538863</c:v>
                </c:pt>
                <c:pt idx="32">
                  <c:v>-109.74351074799826</c:v>
                </c:pt>
                <c:pt idx="33">
                  <c:v>-103.63205099335123</c:v>
                </c:pt>
                <c:pt idx="34">
                  <c:v>-97.370397854794447</c:v>
                </c:pt>
                <c:pt idx="35">
                  <c:v>-90.957845423423521</c:v>
                </c:pt>
                <c:pt idx="36">
                  <c:v>-84.393684472562242</c:v>
                </c:pt>
                <c:pt idx="37">
                  <c:v>-77.677202442168991</c:v>
                </c:pt>
                <c:pt idx="38">
                  <c:v>-70.807683423169976</c:v>
                </c:pt>
                <c:pt idx="39">
                  <c:v>-63.784408141718743</c:v>
                </c:pt>
                <c:pt idx="40">
                  <c:v>-56.606653943381772</c:v>
                </c:pt>
                <c:pt idx="41">
                  <c:v>-49.273694777249702</c:v>
                </c:pt>
                <c:pt idx="42">
                  <c:v>-41.784801179973897</c:v>
                </c:pt>
                <c:pt idx="43">
                  <c:v>-34.13924025972797</c:v>
                </c:pt>
                <c:pt idx="44">
                  <c:v>-26.336275680093969</c:v>
                </c:pt>
                <c:pt idx="45">
                  <c:v>-18.375167643872768</c:v>
                </c:pt>
                <c:pt idx="46">
                  <c:v>-10.25517287681841</c:v>
                </c:pt>
                <c:pt idx="47">
                  <c:v>-1.9755446112959785</c:v>
                </c:pt>
                <c:pt idx="48">
                  <c:v>6.4644674301373275</c:v>
                </c:pt>
                <c:pt idx="49">
                  <c:v>15.065617051228296</c:v>
                </c:pt>
                <c:pt idx="50">
                  <c:v>23.828661598601308</c:v>
                </c:pt>
                <c:pt idx="51">
                  <c:v>32.754361978409889</c:v>
                </c:pt>
                <c:pt idx="52">
                  <c:v>41.843482673066489</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11.277590440001701</c:v>
                </c:pt>
                <c:pt idx="1">
                  <c:v>7.8644452892164001</c:v>
                </c:pt>
                <c:pt idx="2">
                  <c:v>2.7654947501354004</c:v>
                </c:pt>
                <c:pt idx="3">
                  <c:v>-14.405174056854516</c:v>
                </c:pt>
                <c:pt idx="4">
                  <c:v>-30.908925761648987</c:v>
                </c:pt>
                <c:pt idx="5">
                  <c:v>-46.745056802630053</c:v>
                </c:pt>
                <c:pt idx="6">
                  <c:v>-61.912860311440134</c:v>
                </c:pt>
                <c:pt idx="7">
                  <c:v>-76.411626097440362</c:v>
                </c:pt>
                <c:pt idx="8">
                  <c:v>-90.240640632095875</c:v>
                </c:pt>
                <c:pt idx="9">
                  <c:v>-103.3991870332877</c:v>
                </c:pt>
                <c:pt idx="10">
                  <c:v>-115.8865450495509</c:v>
                </c:pt>
                <c:pt idx="11">
                  <c:v>-127.70199104423865</c:v>
                </c:pt>
                <c:pt idx="12">
                  <c:v>-138.84479797961191</c:v>
                </c:pt>
                <c:pt idx="13">
                  <c:v>-149.31423540085422</c:v>
                </c:pt>
                <c:pt idx="14">
                  <c:v>-159.1095694200115</c:v>
                </c:pt>
                <c:pt idx="15">
                  <c:v>-168.23006269985632</c:v>
                </c:pt>
                <c:pt idx="16">
                  <c:v>-176.67497443767627</c:v>
                </c:pt>
                <c:pt idx="17">
                  <c:v>-184.44356034898615</c:v>
                </c:pt>
                <c:pt idx="18">
                  <c:v>-191.53507265116372</c:v>
                </c:pt>
                <c:pt idx="19">
                  <c:v>-197.94876004700839</c:v>
                </c:pt>
                <c:pt idx="20">
                  <c:v>-203.68386770822275</c:v>
                </c:pt>
                <c:pt idx="21">
                  <c:v>-208.73963725881637</c:v>
                </c:pt>
                <c:pt idx="22">
                  <c:v>-213.1153067584317</c:v>
                </c:pt>
                <c:pt idx="23">
                  <c:v>-204.91992353790687</c:v>
                </c:pt>
                <c:pt idx="24">
                  <c:v>-196.56012876642254</c:v>
                </c:pt>
                <c:pt idx="25">
                  <c:v>-188.03514970968922</c:v>
                </c:pt>
                <c:pt idx="26">
                  <c:v>-179.34421000156627</c:v>
                </c:pt>
                <c:pt idx="27">
                  <c:v>-170.48652962699211</c:v>
                </c:pt>
                <c:pt idx="28">
                  <c:v>-161.46132490483444</c:v>
                </c:pt>
                <c:pt idx="29">
                  <c:v>-152.26780847065965</c:v>
                </c:pt>
                <c:pt idx="30">
                  <c:v>-142.90518925942121</c:v>
                </c:pt>
                <c:pt idx="31">
                  <c:v>-133.37267248806694</c:v>
                </c:pt>
                <c:pt idx="32">
                  <c:v>-123.6694596380643</c:v>
                </c:pt>
                <c:pt idx="33">
                  <c:v>-113.79474843784364</c:v>
                </c:pt>
                <c:pt idx="34">
                  <c:v>-103.74773284515892</c:v>
                </c:pt>
                <c:pt idx="35">
                  <c:v>-93.527603029365579</c:v>
                </c:pt>
                <c:pt idx="36">
                  <c:v>-83.133545353615006</c:v>
                </c:pt>
                <c:pt idx="37">
                  <c:v>-72.564742356965397</c:v>
                </c:pt>
                <c:pt idx="38">
                  <c:v>-61.820372736408522</c:v>
                </c:pt>
                <c:pt idx="39">
                  <c:v>-50.899611328812028</c:v>
                </c:pt>
                <c:pt idx="40">
                  <c:v>-39.801629092776821</c:v>
                </c:pt>
                <c:pt idx="41">
                  <c:v>-28.525593090409235</c:v>
                </c:pt>
                <c:pt idx="42">
                  <c:v>-17.070666469007506</c:v>
                </c:pt>
                <c:pt idx="43">
                  <c:v>-5.4360084426621782</c:v>
                </c:pt>
                <c:pt idx="44">
                  <c:v>6.3792257262299685</c:v>
                </c:pt>
                <c:pt idx="45">
                  <c:v>18.375884745538919</c:v>
                </c:pt>
                <c:pt idx="46">
                  <c:v>30.554821312061627</c:v>
                </c:pt>
                <c:pt idx="47">
                  <c:v>42.916892130270007</c:v>
                </c:pt>
                <c:pt idx="48">
                  <c:v>55.462957931146974</c:v>
                </c:pt>
                <c:pt idx="49">
                  <c:v>68.193883491111066</c:v>
                </c:pt>
                <c:pt idx="50">
                  <c:v>81.11053765103</c:v>
                </c:pt>
                <c:pt idx="51">
                  <c:v>94.213793335323572</c:v>
                </c:pt>
                <c:pt idx="52">
                  <c:v>107.50452757115633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-56.682696165362934</c:v>
                </c:pt>
                <c:pt idx="1">
                  <c:v>-156.22052629511327</c:v>
                </c:pt>
                <c:pt idx="2">
                  <c:v>-248.39800156980223</c:v>
                </c:pt>
                <c:pt idx="3">
                  <c:v>-246.29558233378322</c:v>
                </c:pt>
                <c:pt idx="4">
                  <c:v>-244.05013740402185</c:v>
                </c:pt>
                <c:pt idx="5">
                  <c:v>-241.66099455975754</c:v>
                </c:pt>
                <c:pt idx="6">
                  <c:v>-239.1274784207921</c:v>
                </c:pt>
                <c:pt idx="7">
                  <c:v>-236.44891043264047</c:v>
                </c:pt>
                <c:pt idx="8">
                  <c:v>-233.62460885161147</c:v>
                </c:pt>
                <c:pt idx="9">
                  <c:v>-230.65388872981856</c:v>
                </c:pt>
                <c:pt idx="10">
                  <c:v>-227.53606190012016</c:v>
                </c:pt>
                <c:pt idx="11">
                  <c:v>-224.27043696098912</c:v>
                </c:pt>
                <c:pt idx="12">
                  <c:v>-220.85631926131109</c:v>
                </c:pt>
                <c:pt idx="13">
                  <c:v>-217.2930108851115</c:v>
                </c:pt>
                <c:pt idx="14">
                  <c:v>-213.57981063621071</c:v>
                </c:pt>
                <c:pt idx="15">
                  <c:v>-209.71601402280703</c:v>
                </c:pt>
                <c:pt idx="16">
                  <c:v>-205.70091324198728</c:v>
                </c:pt>
                <c:pt idx="17">
                  <c:v>-201.53379716416461</c:v>
                </c:pt>
                <c:pt idx="18">
                  <c:v>-197.2139513174431</c:v>
                </c:pt>
                <c:pt idx="19">
                  <c:v>-192.74065787190895</c:v>
                </c:pt>
                <c:pt idx="20">
                  <c:v>-188.1131956238477</c:v>
                </c:pt>
                <c:pt idx="21">
                  <c:v>-183.33083997988751</c:v>
                </c:pt>
                <c:pt idx="22">
                  <c:v>-178.39286294106765</c:v>
                </c:pt>
                <c:pt idx="23">
                  <c:v>-173.29853308683226</c:v>
                </c:pt>
                <c:pt idx="24">
                  <c:v>-168.04711555894892</c:v>
                </c:pt>
                <c:pt idx="25">
                  <c:v>-162.63787204535143</c:v>
                </c:pt>
                <c:pt idx="26">
                  <c:v>-157.07006076390698</c:v>
                </c:pt>
                <c:pt idx="27">
                  <c:v>-151.34293644610668</c:v>
                </c:pt>
                <c:pt idx="28">
                  <c:v>-145.45575032067964</c:v>
                </c:pt>
                <c:pt idx="29">
                  <c:v>-139.40775009713002</c:v>
                </c:pt>
                <c:pt idx="30">
                  <c:v>-133.19817994919666</c:v>
                </c:pt>
                <c:pt idx="31">
                  <c:v>-126.82628049823495</c:v>
                </c:pt>
                <c:pt idx="32">
                  <c:v>-120.29128879652066</c:v>
                </c:pt>
                <c:pt idx="33">
                  <c:v>-113.59243831047525</c:v>
                </c:pt>
                <c:pt idx="34">
                  <c:v>-106.72895890381236</c:v>
                </c:pt>
                <c:pt idx="35">
                  <c:v>-99.700076820605076</c:v>
                </c:pt>
                <c:pt idx="36">
                  <c:v>-92.505014668273674</c:v>
                </c:pt>
                <c:pt idx="37">
                  <c:v>-85.14299140049323</c:v>
                </c:pt>
                <c:pt idx="38">
                  <c:v>-77.613222300021164</c:v>
                </c:pt>
                <c:pt idx="39">
                  <c:v>-69.914918961443817</c:v>
                </c:pt>
                <c:pt idx="40">
                  <c:v>-62.047289273842082</c:v>
                </c:pt>
                <c:pt idx="41">
                  <c:v>-54.00953740337556</c:v>
                </c:pt>
                <c:pt idx="42">
                  <c:v>-45.800863775784784</c:v>
                </c:pt>
                <c:pt idx="43">
                  <c:v>-37.42046505881126</c:v>
                </c:pt>
                <c:pt idx="44">
                  <c:v>-28.867534144534897</c:v>
                </c:pt>
                <c:pt idx="45">
                  <c:v>-20.141260131628368</c:v>
                </c:pt>
                <c:pt idx="46">
                  <c:v>-11.240828307528115</c:v>
                </c:pt>
                <c:pt idx="47">
                  <c:v>-2.165420130521527</c:v>
                </c:pt>
                <c:pt idx="48">
                  <c:v>7.0857867882500578</c:v>
                </c:pt>
                <c:pt idx="49">
                  <c:v>16.51361870287294</c:v>
                </c:pt>
                <c:pt idx="50">
                  <c:v>26.118905750827608</c:v>
                </c:pt>
                <c:pt idx="51">
                  <c:v>35.902481971240732</c:v>
                </c:pt>
                <c:pt idx="52">
                  <c:v>45.865185323222867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11.927145816574477</c:v>
                </c:pt>
                <c:pt idx="1">
                  <c:v>8.3174137445393939</c:v>
                </c:pt>
                <c:pt idx="2">
                  <c:v>2.9247789512589462</c:v>
                </c:pt>
                <c:pt idx="3">
                  <c:v>-15.234868867007165</c:v>
                </c:pt>
                <c:pt idx="4">
                  <c:v>-32.689187158742683</c:v>
                </c:pt>
                <c:pt idx="5">
                  <c:v>-49.437431839291136</c:v>
                </c:pt>
                <c:pt idx="6">
                  <c:v>-65.478855326798154</c:v>
                </c:pt>
                <c:pt idx="7">
                  <c:v>-80.81270652577463</c:v>
                </c:pt>
                <c:pt idx="8">
                  <c:v>-95.438230810582695</c:v>
                </c:pt>
                <c:pt idx="9">
                  <c:v>-109.35467000884397</c:v>
                </c:pt>
                <c:pt idx="10">
                  <c:v>-122.56126238476988</c:v>
                </c:pt>
                <c:pt idx="11">
                  <c:v>-135.05724262241367</c:v>
                </c:pt>
                <c:pt idx="12">
                  <c:v>-146.84184180884361</c:v>
                </c:pt>
                <c:pt idx="13">
                  <c:v>-157.9142874172372</c:v>
                </c:pt>
                <c:pt idx="14">
                  <c:v>-168.27380328989591</c:v>
                </c:pt>
                <c:pt idx="15">
                  <c:v>-177.91960962117997</c:v>
                </c:pt>
                <c:pt idx="16">
                  <c:v>-186.85092294036312</c:v>
                </c:pt>
                <c:pt idx="17">
                  <c:v>-195.06695609440669</c:v>
                </c:pt>
                <c:pt idx="18">
                  <c:v>-202.56691823065279</c:v>
                </c:pt>
                <c:pt idx="19">
                  <c:v>-209.35001477943592</c:v>
                </c:pt>
                <c:pt idx="20">
                  <c:v>-215.41544743661325</c:v>
                </c:pt>
                <c:pt idx="21">
                  <c:v>-220.76241414601242</c:v>
                </c:pt>
                <c:pt idx="22">
                  <c:v>-225.39010908179708</c:v>
                </c:pt>
                <c:pt idx="23">
                  <c:v>-216.72269637391966</c:v>
                </c:pt>
                <c:pt idx="24">
                  <c:v>-207.88140250298216</c:v>
                </c:pt>
                <c:pt idx="25">
                  <c:v>-198.86541022751817</c:v>
                </c:pt>
                <c:pt idx="26">
                  <c:v>-189.67389846502644</c:v>
                </c:pt>
                <c:pt idx="27">
                  <c:v>-180.30604227391794</c:v>
                </c:pt>
                <c:pt idx="28">
                  <c:v>-170.76101283537815</c:v>
                </c:pt>
                <c:pt idx="29">
                  <c:v>-161.03797743514417</c:v>
                </c:pt>
                <c:pt idx="30">
                  <c:v>-151.13609944519604</c:v>
                </c:pt>
                <c:pt idx="31">
                  <c:v>-141.05453830536209</c:v>
                </c:pt>
                <c:pt idx="32">
                  <c:v>-130.79244950483783</c:v>
                </c:pt>
                <c:pt idx="33">
                  <c:v>-120.34898456361806</c:v>
                </c:pt>
                <c:pt idx="34">
                  <c:v>-109.72329101384149</c:v>
                </c:pt>
                <c:pt idx="35">
                  <c:v>-98.914512381047899</c:v>
                </c:pt>
                <c:pt idx="36">
                  <c:v>-87.92178816534711</c:v>
                </c:pt>
                <c:pt idx="37">
                  <c:v>-76.744253822499473</c:v>
                </c:pt>
                <c:pt idx="38">
                  <c:v>-65.381040744907381</c:v>
                </c:pt>
                <c:pt idx="39">
                  <c:v>-53.831276242517546</c:v>
                </c:pt>
                <c:pt idx="40">
                  <c:v>-42.094083523633422</c:v>
                </c:pt>
                <c:pt idx="41">
                  <c:v>-30.168581675637469</c:v>
                </c:pt>
                <c:pt idx="42">
                  <c:v>-18.053885645622866</c:v>
                </c:pt>
                <c:pt idx="43">
                  <c:v>-5.7491062209341273</c:v>
                </c:pt>
                <c:pt idx="44">
                  <c:v>6.7466499903837001</c:v>
                </c:pt>
                <c:pt idx="45">
                  <c:v>19.434280579227785</c:v>
                </c:pt>
                <c:pt idx="46">
                  <c:v>32.314687355172502</c:v>
                </c:pt>
                <c:pt idx="47">
                  <c:v>45.388776366297229</c:v>
                </c:pt>
                <c:pt idx="48">
                  <c:v>58.657457919107308</c:v>
                </c:pt>
                <c:pt idx="49">
                  <c:v>72.121646598548651</c:v>
                </c:pt>
                <c:pt idx="50">
                  <c:v>85.78226128811643</c:v>
                </c:pt>
                <c:pt idx="51">
                  <c:v>99.64022519005826</c:v>
                </c:pt>
                <c:pt idx="52">
                  <c:v>113.69646584567226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9" t="s">
        <v>473</v>
      </c>
      <c r="D2" s="2110"/>
      <c r="E2" s="2110"/>
      <c r="F2" s="2110"/>
      <c r="G2" s="2110"/>
      <c r="H2" s="415"/>
      <c r="I2" s="2113" t="s">
        <v>962</v>
      </c>
      <c r="J2" s="2114"/>
      <c r="K2" s="2114"/>
    </row>
    <row r="3" spans="2:18" ht="10.5" customHeight="1" x14ac:dyDescent="0.25">
      <c r="B3" s="414"/>
      <c r="C3" s="413"/>
      <c r="D3" s="413"/>
      <c r="E3" s="413"/>
      <c r="F3" s="413"/>
      <c r="G3" s="413"/>
      <c r="H3" s="414"/>
      <c r="I3" s="414"/>
      <c r="J3" s="414"/>
      <c r="K3" s="414"/>
    </row>
    <row r="4" spans="2:18" ht="37.9" customHeight="1" x14ac:dyDescent="0.25">
      <c r="B4" s="416"/>
      <c r="C4" s="2111" t="s">
        <v>770</v>
      </c>
      <c r="D4" s="2112"/>
      <c r="E4" s="2112"/>
      <c r="F4" s="2112"/>
      <c r="G4" s="2112"/>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6" t="s">
        <v>497</v>
      </c>
      <c r="K6" s="2108"/>
      <c r="L6" s="2108"/>
      <c r="M6" s="2108"/>
      <c r="N6" s="2108"/>
      <c r="O6" s="2108"/>
      <c r="P6" s="2108"/>
      <c r="Q6" s="2108"/>
      <c r="R6" s="2108"/>
    </row>
    <row r="7" spans="2:18" ht="18" customHeight="1" x14ac:dyDescent="0.25">
      <c r="B7" s="73"/>
      <c r="I7" s="417"/>
      <c r="J7" s="2108"/>
      <c r="K7" s="2108"/>
      <c r="L7" s="2108"/>
      <c r="M7" s="2108"/>
      <c r="N7" s="2108"/>
      <c r="O7" s="2108"/>
      <c r="P7" s="2108"/>
      <c r="Q7" s="2108"/>
      <c r="R7" s="2108"/>
    </row>
    <row r="8" spans="2:18" ht="18" customHeight="1" x14ac:dyDescent="0.25">
      <c r="B8" s="73"/>
      <c r="I8" s="417"/>
      <c r="J8" s="77"/>
      <c r="K8" s="77"/>
      <c r="L8" s="77"/>
      <c r="M8" s="77"/>
      <c r="N8" s="77"/>
      <c r="O8" s="77"/>
      <c r="P8" s="77"/>
      <c r="Q8" s="77"/>
      <c r="R8" s="77"/>
    </row>
    <row r="9" spans="2:18" ht="22.9" customHeight="1" x14ac:dyDescent="0.25">
      <c r="B9" s="73"/>
      <c r="I9" s="112" t="s">
        <v>772</v>
      </c>
      <c r="J9" s="2106" t="s">
        <v>775</v>
      </c>
      <c r="K9" s="2108"/>
      <c r="L9" s="2108"/>
      <c r="M9" s="2108"/>
      <c r="N9" s="2108"/>
      <c r="O9" s="2108"/>
      <c r="P9" s="2108"/>
      <c r="Q9" s="2108"/>
      <c r="R9" s="2108"/>
    </row>
    <row r="10" spans="2:18" ht="22.9" customHeight="1" x14ac:dyDescent="0.25">
      <c r="B10" s="73"/>
      <c r="I10" s="417"/>
      <c r="J10" s="2108"/>
      <c r="K10" s="2108"/>
      <c r="L10" s="2108"/>
      <c r="M10" s="2108"/>
      <c r="N10" s="2108"/>
      <c r="O10" s="2108"/>
      <c r="P10" s="2108"/>
      <c r="Q10" s="2108"/>
      <c r="R10" s="2108"/>
    </row>
    <row r="11" spans="2:18" ht="22.9" customHeight="1" x14ac:dyDescent="0.25">
      <c r="I11" s="417"/>
      <c r="J11" s="2108"/>
      <c r="K11" s="2108"/>
      <c r="L11" s="2108"/>
      <c r="M11" s="2108"/>
      <c r="N11" s="2108"/>
      <c r="O11" s="2108"/>
      <c r="P11" s="2108"/>
      <c r="Q11" s="2108"/>
      <c r="R11" s="2108"/>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7" t="s">
        <v>776</v>
      </c>
      <c r="K13" s="2107"/>
      <c r="L13" s="2107"/>
      <c r="M13" s="2107"/>
      <c r="N13" s="2107"/>
      <c r="O13" s="2107"/>
      <c r="P13" s="2107"/>
      <c r="Q13" s="2107"/>
      <c r="R13" s="2107"/>
    </row>
    <row r="14" spans="2:18" ht="18" customHeight="1" x14ac:dyDescent="0.25">
      <c r="B14" s="73"/>
      <c r="C14" s="79"/>
      <c r="G14" s="80"/>
      <c r="H14" s="80"/>
      <c r="I14" s="417"/>
      <c r="J14" s="2107"/>
      <c r="K14" s="2107"/>
      <c r="L14" s="2107"/>
      <c r="M14" s="2107"/>
      <c r="N14" s="2107"/>
      <c r="O14" s="2107"/>
      <c r="P14" s="2107"/>
      <c r="Q14" s="2107"/>
      <c r="R14" s="2107"/>
    </row>
    <row r="15" spans="2:18" ht="18" customHeight="1" x14ac:dyDescent="0.25">
      <c r="B15" s="73"/>
      <c r="C15" s="79"/>
      <c r="G15" s="80"/>
      <c r="H15" s="80"/>
      <c r="I15" s="417"/>
      <c r="J15" s="2107"/>
      <c r="K15" s="2107"/>
      <c r="L15" s="2107"/>
      <c r="M15" s="2107"/>
      <c r="N15" s="2107"/>
      <c r="O15" s="2107"/>
      <c r="P15" s="2107"/>
      <c r="Q15" s="2107"/>
      <c r="R15" s="2107"/>
    </row>
    <row r="16" spans="2:18" ht="18" customHeight="1" x14ac:dyDescent="0.25">
      <c r="B16" s="73"/>
      <c r="C16" s="79"/>
      <c r="G16" s="80"/>
      <c r="H16" s="80"/>
      <c r="I16" s="417"/>
      <c r="J16" s="2107"/>
      <c r="K16" s="2107"/>
      <c r="L16" s="2107"/>
      <c r="M16" s="2107"/>
      <c r="N16" s="2107"/>
      <c r="O16" s="2107"/>
      <c r="P16" s="2107"/>
      <c r="Q16" s="2107"/>
      <c r="R16" s="2107"/>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6" t="s">
        <v>498</v>
      </c>
      <c r="K18" s="2106"/>
      <c r="L18" s="2106"/>
      <c r="M18" s="2106"/>
      <c r="N18" s="2106"/>
      <c r="O18" s="2106"/>
      <c r="P18" s="2106"/>
      <c r="Q18" s="2106"/>
      <c r="R18" s="2106"/>
    </row>
    <row r="19" spans="1:18" ht="18" customHeight="1" x14ac:dyDescent="0.25">
      <c r="B19" s="73"/>
      <c r="C19" s="80"/>
      <c r="D19" s="79"/>
      <c r="E19" s="79"/>
      <c r="F19" s="79"/>
      <c r="G19" s="79"/>
      <c r="H19" s="79"/>
      <c r="I19" s="79"/>
      <c r="J19" s="2106"/>
      <c r="K19" s="2106"/>
      <c r="L19" s="2106"/>
      <c r="M19" s="2106"/>
      <c r="N19" s="2106"/>
      <c r="O19" s="2106"/>
      <c r="P19" s="2106"/>
      <c r="Q19" s="2106"/>
      <c r="R19" s="2106"/>
    </row>
    <row r="20" spans="1:18" ht="18" customHeight="1" x14ac:dyDescent="0.25">
      <c r="B20" s="73"/>
      <c r="C20" s="79"/>
      <c r="D20" s="79"/>
      <c r="E20" s="79"/>
      <c r="F20" s="79"/>
      <c r="G20" s="79"/>
      <c r="H20" s="79"/>
      <c r="I20" s="79"/>
      <c r="J20" s="2106"/>
      <c r="K20" s="2106"/>
      <c r="L20" s="2106"/>
      <c r="M20" s="2106"/>
      <c r="N20" s="2106"/>
      <c r="O20" s="2106"/>
      <c r="P20" s="2106"/>
      <c r="Q20" s="2106"/>
      <c r="R20" s="2106"/>
    </row>
    <row r="21" spans="1:18" ht="40.15" customHeight="1" x14ac:dyDescent="0.25">
      <c r="A21" s="523"/>
      <c r="B21" s="418"/>
      <c r="C21" s="419"/>
      <c r="D21" s="419"/>
      <c r="E21" s="419"/>
      <c r="F21" s="419"/>
      <c r="G21" s="422"/>
      <c r="I21" s="79"/>
      <c r="J21" s="2106"/>
      <c r="K21" s="2106"/>
      <c r="L21" s="2106"/>
      <c r="M21" s="2106"/>
      <c r="N21" s="2106"/>
      <c r="O21" s="2106"/>
      <c r="P21" s="2106"/>
      <c r="Q21" s="2106"/>
      <c r="R21" s="2106"/>
    </row>
    <row r="22" spans="1:18" ht="34.9" customHeight="1" x14ac:dyDescent="0.25">
      <c r="B22" s="75"/>
      <c r="C22" s="75"/>
      <c r="D22" s="75"/>
      <c r="E22" s="75"/>
      <c r="F22" s="75"/>
      <c r="G22" s="75"/>
      <c r="H22" s="75"/>
      <c r="I22" s="75"/>
      <c r="J22" s="2106"/>
      <c r="K22" s="2106"/>
      <c r="L22" s="2106"/>
      <c r="M22" s="2106"/>
      <c r="N22" s="2106"/>
      <c r="O22" s="2106"/>
      <c r="P22" s="2106"/>
      <c r="Q22" s="2106"/>
      <c r="R22" s="2106"/>
    </row>
    <row r="23" spans="1:18" ht="18" customHeight="1" x14ac:dyDescent="0.25">
      <c r="B23" s="75"/>
      <c r="C23" s="207" t="s">
        <v>499</v>
      </c>
      <c r="D23" s="524" t="s">
        <v>472</v>
      </c>
      <c r="E23" s="76"/>
      <c r="F23" s="75"/>
      <c r="G23" s="75"/>
      <c r="H23" s="75"/>
      <c r="J23" s="2106"/>
      <c r="K23" s="2106"/>
      <c r="L23" s="2106"/>
      <c r="M23" s="2106"/>
      <c r="N23" s="2106"/>
      <c r="O23" s="2106"/>
      <c r="P23" s="2106"/>
      <c r="Q23" s="2106"/>
      <c r="R23" s="2106"/>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topLeftCell="A34" colorId="55" zoomScale="80" zoomScaleNormal="80" workbookViewId="0">
      <selection activeCell="E11" sqref="E11"/>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35" t="s">
        <v>1000</v>
      </c>
      <c r="E2" s="2136"/>
      <c r="F2" s="2137"/>
      <c r="G2" s="434"/>
      <c r="H2" s="2138" t="s">
        <v>5</v>
      </c>
      <c r="I2" s="2139"/>
      <c r="J2" s="2140"/>
      <c r="K2" s="434"/>
      <c r="L2" s="434"/>
      <c r="M2" s="434"/>
      <c r="N2" s="434"/>
      <c r="O2" s="983"/>
      <c r="P2" s="983" t="s">
        <v>6</v>
      </c>
      <c r="Q2" s="983"/>
      <c r="R2" s="983"/>
      <c r="S2" s="983"/>
      <c r="T2" s="983"/>
      <c r="U2" s="983"/>
      <c r="V2" s="3"/>
      <c r="W2" s="3"/>
      <c r="X2" s="3"/>
      <c r="Y2" s="3"/>
    </row>
    <row r="3" spans="1:25" ht="18" customHeight="1" x14ac:dyDescent="0.25">
      <c r="A3" s="85"/>
      <c r="B3" s="434"/>
      <c r="C3" s="531" t="s">
        <v>486</v>
      </c>
      <c r="D3" s="2135" t="s">
        <v>1001</v>
      </c>
      <c r="E3" s="2136"/>
      <c r="F3" s="2137"/>
      <c r="G3" s="434"/>
      <c r="H3" s="2141"/>
      <c r="I3" s="2142"/>
      <c r="J3" s="2143"/>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1.6168728149136169</v>
      </c>
      <c r="F9" s="602">
        <f>(E10)*1000/E8</f>
        <v>1.4941799867345973</v>
      </c>
      <c r="G9" s="602">
        <f>('R&amp;C-Painel de Controle'!D31)*1000/E8</f>
        <v>0.12269282817901978</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v>615</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615</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1" t="s">
        <v>931</v>
      </c>
      <c r="D16" s="2132"/>
      <c r="E16" s="2132"/>
      <c r="F16" s="2132"/>
      <c r="G16" s="2132"/>
      <c r="H16" s="2132"/>
      <c r="I16" s="2132"/>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44" t="s">
        <v>16</v>
      </c>
      <c r="D23" s="2146" t="s">
        <v>736</v>
      </c>
      <c r="E23" s="2120"/>
      <c r="F23" s="2120"/>
      <c r="G23" s="2119" t="s">
        <v>830</v>
      </c>
      <c r="H23" s="2119" t="s">
        <v>17</v>
      </c>
      <c r="I23" s="2120"/>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0"/>
      <c r="D24" s="2145" t="s">
        <v>18</v>
      </c>
      <c r="E24" s="2145" t="s">
        <v>19</v>
      </c>
      <c r="F24" s="2145" t="s">
        <v>20</v>
      </c>
      <c r="G24" s="2120"/>
      <c r="H24" s="2120"/>
      <c r="I24" s="2120"/>
      <c r="J24" s="529"/>
      <c r="K24" s="547"/>
      <c r="L24" s="529"/>
      <c r="M24" s="529"/>
      <c r="N24" s="434"/>
      <c r="O24" s="983"/>
      <c r="P24" s="983"/>
      <c r="Q24" s="983"/>
      <c r="R24" s="983"/>
      <c r="S24" s="983"/>
      <c r="T24" s="983"/>
      <c r="U24" s="983"/>
      <c r="V24" s="3"/>
      <c r="W24" s="7"/>
      <c r="X24" s="7"/>
      <c r="Y24" s="7"/>
    </row>
    <row r="25" spans="1:25" ht="30.4" customHeight="1" x14ac:dyDescent="0.25">
      <c r="A25" s="85"/>
      <c r="B25" s="434"/>
      <c r="C25" s="2120"/>
      <c r="D25" s="2120"/>
      <c r="E25" s="2120"/>
      <c r="F25" s="2120"/>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297.66000000000003</v>
      </c>
      <c r="H26" s="2127">
        <f>E26+E27</f>
        <v>51.4</v>
      </c>
      <c r="I26" s="2129"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18.45</v>
      </c>
      <c r="H27" s="2128"/>
      <c r="I27" s="2130"/>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80.564999999999998</v>
      </c>
      <c r="H28" s="2127">
        <f>SUM(E28:E33)</f>
        <v>31.900000000000002</v>
      </c>
      <c r="I28" s="2129"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54.734999999999999</v>
      </c>
      <c r="H29" s="2128"/>
      <c r="I29" s="2130"/>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28.29</v>
      </c>
      <c r="H30" s="2128"/>
      <c r="I30" s="2130"/>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14.76</v>
      </c>
      <c r="H31" s="2128"/>
      <c r="I31" s="2130"/>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14.145</v>
      </c>
      <c r="H32" s="2128"/>
      <c r="I32" s="2130"/>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3.69</v>
      </c>
      <c r="H33" s="2128"/>
      <c r="I33" s="2130"/>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27.3675</v>
      </c>
      <c r="H34" s="2127">
        <f>SUM(E34:E37)</f>
        <v>10.14</v>
      </c>
      <c r="I34" s="2134"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5.9039999999999999</v>
      </c>
      <c r="H35" s="2128"/>
      <c r="I35" s="2130"/>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24.6</v>
      </c>
      <c r="H36" s="2128"/>
      <c r="I36" s="2130"/>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4.4894999999999996</v>
      </c>
      <c r="H37" s="2128"/>
      <c r="I37" s="2130"/>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27">
        <f>SUM(E38:E39)</f>
        <v>6.5600000000000023</v>
      </c>
      <c r="I38" s="2134"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40.344000000000015</v>
      </c>
      <c r="H39" s="2128"/>
      <c r="I39" s="2130"/>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615.00000000000011</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615</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615</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21" t="s">
        <v>48</v>
      </c>
      <c r="D51" s="2117" t="s">
        <v>508</v>
      </c>
      <c r="E51" s="2118"/>
      <c r="F51" s="2118"/>
      <c r="G51" s="2118"/>
      <c r="H51" s="2118"/>
      <c r="I51" s="2118"/>
      <c r="J51" s="2118"/>
      <c r="K51" s="2118"/>
      <c r="L51" s="2118"/>
      <c r="M51" s="2118"/>
      <c r="N51" s="2118"/>
      <c r="O51" s="983"/>
      <c r="P51" s="983"/>
      <c r="Q51" s="983"/>
      <c r="R51" s="983"/>
      <c r="S51" s="983"/>
      <c r="T51" s="983"/>
      <c r="U51" s="983"/>
      <c r="V51" s="3"/>
      <c r="W51" s="3"/>
      <c r="X51" s="3"/>
      <c r="Y51" s="3"/>
    </row>
    <row r="52" spans="1:25" ht="18" customHeight="1" x14ac:dyDescent="0.25">
      <c r="A52" s="85"/>
      <c r="B52" s="434"/>
      <c r="C52" s="2122"/>
      <c r="D52" s="2115" t="s">
        <v>25</v>
      </c>
      <c r="E52" s="2122"/>
      <c r="F52" s="2123" t="s">
        <v>49</v>
      </c>
      <c r="G52" s="2115" t="s">
        <v>475</v>
      </c>
      <c r="H52" s="2122"/>
      <c r="I52" s="2115" t="s">
        <v>476</v>
      </c>
      <c r="J52" s="2115" t="s">
        <v>52</v>
      </c>
      <c r="K52" s="2122"/>
      <c r="L52" s="2115" t="s">
        <v>477</v>
      </c>
      <c r="M52" s="2116"/>
      <c r="N52" s="2133" t="s">
        <v>53</v>
      </c>
      <c r="O52" s="983"/>
      <c r="P52" s="983"/>
      <c r="Q52" s="983"/>
      <c r="R52" s="983"/>
      <c r="S52" s="983"/>
      <c r="T52" s="983"/>
      <c r="U52" s="983"/>
      <c r="V52" s="3"/>
      <c r="W52" s="3"/>
      <c r="X52" s="3"/>
      <c r="Y52" s="3"/>
    </row>
    <row r="53" spans="1:25" ht="31.15" customHeight="1" x14ac:dyDescent="0.25">
      <c r="A53" s="85"/>
      <c r="B53" s="434"/>
      <c r="C53" s="2122"/>
      <c r="D53" s="499" t="s">
        <v>54</v>
      </c>
      <c r="E53" s="499" t="s">
        <v>55</v>
      </c>
      <c r="F53" s="2122"/>
      <c r="G53" s="499" t="s">
        <v>56</v>
      </c>
      <c r="H53" s="499" t="s">
        <v>57</v>
      </c>
      <c r="I53" s="2122"/>
      <c r="J53" s="499" t="s">
        <v>58</v>
      </c>
      <c r="K53" s="499" t="s">
        <v>510</v>
      </c>
      <c r="L53" s="499" t="s">
        <v>478</v>
      </c>
      <c r="M53" s="500" t="s">
        <v>509</v>
      </c>
      <c r="N53" s="2122"/>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297.66000000000003</v>
      </c>
      <c r="E56" s="104">
        <f>G27-E55</f>
        <v>18.45</v>
      </c>
      <c r="F56" s="104">
        <f>G28-F54</f>
        <v>80.564999999999998</v>
      </c>
      <c r="G56" s="104">
        <f>G29-G54</f>
        <v>54.734999999999999</v>
      </c>
      <c r="H56" s="104">
        <f>G30-H54</f>
        <v>28.29</v>
      </c>
      <c r="I56" s="104">
        <f>G31-I54</f>
        <v>14.76</v>
      </c>
      <c r="J56" s="104">
        <f>G32-J54</f>
        <v>14.145</v>
      </c>
      <c r="K56" s="104">
        <f>G33-K54</f>
        <v>3.69</v>
      </c>
      <c r="L56" s="104">
        <f>SUM(G34:G37)</f>
        <v>62.361000000000004</v>
      </c>
      <c r="M56" s="104">
        <f>SUM(G38:G39)</f>
        <v>40.344000000000015</v>
      </c>
      <c r="N56" s="104">
        <f>SUM(D56:M56)</f>
        <v>615.00000000000011</v>
      </c>
      <c r="O56" s="983"/>
      <c r="P56" s="983"/>
      <c r="Q56" s="983"/>
      <c r="R56" s="983"/>
      <c r="S56" s="983"/>
      <c r="T56" s="983"/>
      <c r="U56" s="983"/>
      <c r="V56" s="3"/>
      <c r="W56" s="3"/>
      <c r="X56" s="3"/>
      <c r="Y56" s="3"/>
    </row>
    <row r="57" spans="1:25" ht="18" customHeight="1" x14ac:dyDescent="0.25">
      <c r="A57" s="85"/>
      <c r="B57" s="434"/>
      <c r="C57" s="233" t="s">
        <v>53</v>
      </c>
      <c r="D57" s="104">
        <f>SUM(D55:D56)</f>
        <v>297.66000000000003</v>
      </c>
      <c r="E57" s="104">
        <f>SUM(E55:E56)</f>
        <v>18.45</v>
      </c>
      <c r="F57" s="104">
        <f t="shared" ref="F57:L57" si="2">SUM(F54:F56)</f>
        <v>80.564999999999998</v>
      </c>
      <c r="G57" s="104">
        <f t="shared" si="2"/>
        <v>54.734999999999999</v>
      </c>
      <c r="H57" s="104">
        <f t="shared" si="2"/>
        <v>28.29</v>
      </c>
      <c r="I57" s="104">
        <f t="shared" si="2"/>
        <v>14.76</v>
      </c>
      <c r="J57" s="104">
        <f t="shared" si="2"/>
        <v>14.145</v>
      </c>
      <c r="K57" s="104">
        <f t="shared" si="2"/>
        <v>3.69</v>
      </c>
      <c r="L57" s="104">
        <f t="shared" si="2"/>
        <v>62.361000000000004</v>
      </c>
      <c r="M57" s="104">
        <f>M56</f>
        <v>40.344000000000015</v>
      </c>
      <c r="N57" s="104">
        <f>SUM(N54:N56)</f>
        <v>615.00000000000011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F13" sqref="F13"/>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58" t="str">
        <f>IF('R-Entrada'!D2&lt;&gt;0,'R-Entrada'!D2,"")</f>
        <v>CIRSOP - Consórcio RSU Oeste Paulista</v>
      </c>
      <c r="E2" s="2159"/>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58" t="str">
        <f>IF('R-Entrada'!D3&lt;&gt;0,'R-Entrada'!D3,"")</f>
        <v>Biodigestão c/ Prod. E. Elétrica</v>
      </c>
      <c r="E3" s="2159"/>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38" t="s">
        <v>737</v>
      </c>
      <c r="G5" s="2147"/>
      <c r="H5" s="2148"/>
      <c r="I5" s="434"/>
      <c r="J5" s="132"/>
      <c r="K5" s="584" t="s">
        <v>725</v>
      </c>
      <c r="L5" s="434"/>
      <c r="M5" s="434"/>
      <c r="N5" s="2124" t="s">
        <v>473</v>
      </c>
      <c r="O5" s="2156"/>
      <c r="P5" s="2156"/>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49"/>
      <c r="G6" s="2150"/>
      <c r="H6" s="2151"/>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57" t="s">
        <v>511</v>
      </c>
      <c r="C8" s="2157"/>
      <c r="D8" s="2157"/>
      <c r="E8" s="2157"/>
      <c r="F8" s="2157"/>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19" t="s">
        <v>48</v>
      </c>
      <c r="D10" s="2146" t="s">
        <v>508</v>
      </c>
      <c r="E10" s="2120"/>
      <c r="F10" s="2120"/>
      <c r="G10" s="2120"/>
      <c r="H10" s="2120"/>
      <c r="I10" s="2120"/>
      <c r="J10" s="2120"/>
      <c r="K10" s="2120"/>
      <c r="L10" s="2120"/>
      <c r="M10" s="2120"/>
      <c r="N10" s="2120"/>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0"/>
      <c r="D11" s="2146" t="s">
        <v>25</v>
      </c>
      <c r="E11" s="2120"/>
      <c r="F11" s="2119" t="s">
        <v>49</v>
      </c>
      <c r="G11" s="2146" t="s">
        <v>475</v>
      </c>
      <c r="H11" s="2120"/>
      <c r="I11" s="2146" t="s">
        <v>476</v>
      </c>
      <c r="J11" s="2146" t="s">
        <v>52</v>
      </c>
      <c r="K11" s="2120"/>
      <c r="L11" s="2146" t="s">
        <v>477</v>
      </c>
      <c r="M11" s="2120"/>
      <c r="N11" s="2174"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0"/>
      <c r="D12" s="503" t="s">
        <v>54</v>
      </c>
      <c r="E12" s="503" t="s">
        <v>55</v>
      </c>
      <c r="F12" s="2120"/>
      <c r="G12" s="503" t="s">
        <v>56</v>
      </c>
      <c r="H12" s="503" t="s">
        <v>57</v>
      </c>
      <c r="I12" s="2120"/>
      <c r="J12" s="503" t="s">
        <v>58</v>
      </c>
      <c r="K12" s="503" t="s">
        <v>510</v>
      </c>
      <c r="L12" s="503" t="s">
        <v>478</v>
      </c>
      <c r="M12" s="497" t="s">
        <v>509</v>
      </c>
      <c r="N12" s="2120"/>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297.66000000000003</v>
      </c>
      <c r="E15" s="122">
        <f>'R-Entrada'!E56</f>
        <v>18.45</v>
      </c>
      <c r="F15" s="122">
        <f>'R-Entrada'!F56</f>
        <v>80.564999999999998</v>
      </c>
      <c r="G15" s="122">
        <f>'R-Entrada'!G56</f>
        <v>54.734999999999999</v>
      </c>
      <c r="H15" s="122">
        <f>'R-Entrada'!H56</f>
        <v>28.29</v>
      </c>
      <c r="I15" s="122">
        <f>'R-Entrada'!I56</f>
        <v>14.76</v>
      </c>
      <c r="J15" s="122">
        <f>'R-Entrada'!J56</f>
        <v>14.145</v>
      </c>
      <c r="K15" s="122">
        <f>'R-Entrada'!K56</f>
        <v>3.69</v>
      </c>
      <c r="L15" s="122">
        <f>'R-Entrada'!L56</f>
        <v>62.361000000000004</v>
      </c>
      <c r="M15" s="122">
        <f>'R-Entrada'!M56</f>
        <v>40.344000000000015</v>
      </c>
      <c r="N15" s="98">
        <f>SUM(D15:M15)</f>
        <v>615.00000000000011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297.66000000000003</v>
      </c>
      <c r="E16" s="154">
        <f>SUM(E14:E15)</f>
        <v>18.45</v>
      </c>
      <c r="F16" s="154">
        <f t="shared" ref="F16:L16" si="0">SUM(F13:F15)</f>
        <v>80.564999999999998</v>
      </c>
      <c r="G16" s="154">
        <f t="shared" si="0"/>
        <v>54.734999999999999</v>
      </c>
      <c r="H16" s="154">
        <f t="shared" si="0"/>
        <v>28.29</v>
      </c>
      <c r="I16" s="154">
        <f t="shared" si="0"/>
        <v>14.76</v>
      </c>
      <c r="J16" s="154">
        <f t="shared" si="0"/>
        <v>14.145</v>
      </c>
      <c r="K16" s="154">
        <f t="shared" si="0"/>
        <v>3.69</v>
      </c>
      <c r="L16" s="154">
        <f t="shared" si="0"/>
        <v>62.361000000000004</v>
      </c>
      <c r="M16" s="154">
        <f>M15</f>
        <v>40.344000000000015</v>
      </c>
      <c r="N16" s="98">
        <f>SUM(N13:N15)</f>
        <v>615.00000000000011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31.899999999999995</v>
      </c>
      <c r="J18" s="157">
        <f>IF(N15=0,0,SUM(D15:E15)/N15*100)</f>
        <v>51.399999999999991</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20.141249999999999</v>
      </c>
      <c r="M24" s="115">
        <f>IF($E$28="Sim",F$13*'R-Avançado'!$H$11/100*$E$29/$N$13,0)</f>
        <v>0</v>
      </c>
      <c r="N24" s="115">
        <f>IF($E$32="Sim",F$13*'R-Avançado'!$G$11/100*$E$33/$N$13,0)</f>
        <v>0</v>
      </c>
      <c r="O24" s="628">
        <f>IF(AND($I$25&gt;0,$I$24="Sim"),$I$27/$N$15*F$15*'R-Avançado'!$F$11/100,0)</f>
        <v>20.141249999999999</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615.00000000000011</v>
      </c>
      <c r="J25" s="591"/>
      <c r="K25" s="625" t="s">
        <v>29</v>
      </c>
      <c r="L25" s="114">
        <f t="shared" si="1"/>
        <v>13.68375</v>
      </c>
      <c r="M25" s="115">
        <f>IF($E$28="Sim",G$13*'R-Avançado'!$H$11/100*$E$29/$N$13,0)</f>
        <v>0</v>
      </c>
      <c r="N25" s="115">
        <f>IF($E$32="Sim",G$13*'R-Avançado'!$G$11/100*$E$33/$N$13,0)</f>
        <v>0</v>
      </c>
      <c r="O25" s="628">
        <f>IF(AND($I$25&gt;0,$I$24="Sim"),$I$27/$N$15*G$15*'R-Avançado'!$F$11/100,0)</f>
        <v>13.68375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100</v>
      </c>
      <c r="J26" s="2153" t="str">
        <f>IF(AND(I24="Sim",I27&lt;&gt;0,I27&lt;50),"Mín. é 50 t/d. Rever Célula I26","")</f>
        <v/>
      </c>
      <c r="K26" s="625" t="s">
        <v>78</v>
      </c>
      <c r="L26" s="114">
        <f t="shared" si="1"/>
        <v>7.0724999999999998</v>
      </c>
      <c r="M26" s="115">
        <f>IF($E$28="Sim",H$13*'R-Avançado'!$H$11/100*$E$29/$N$13,0)</f>
        <v>0</v>
      </c>
      <c r="N26" s="115">
        <f>IF($E$32="Sim",H$13*'R-Avançado'!$G$11/100*$E$33/$N$13,0)</f>
        <v>0</v>
      </c>
      <c r="O26" s="628">
        <f>IF(AND($I$25&gt;0,$I$24="Sim"),$I$27/$N$15*H$15*'R-Avançado'!$F$11/100,0)</f>
        <v>7.0724999999999998</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615.00000000000011</v>
      </c>
      <c r="J27" s="2154"/>
      <c r="K27" s="625" t="s">
        <v>31</v>
      </c>
      <c r="L27" s="114">
        <f t="shared" si="1"/>
        <v>3.69</v>
      </c>
      <c r="M27" s="115">
        <f>IF($E$28="Sim",I$13*'R-Avançado'!$H$11/100*$E$29/$N$13,0)</f>
        <v>0</v>
      </c>
      <c r="N27" s="115">
        <f>IF($E$32="Sim",I$13*'R-Avançado'!$G$11/100*$E$33/$N$13,0)</f>
        <v>0</v>
      </c>
      <c r="O27" s="628">
        <f>IF(AND($I$25&gt;0,$I$24="Sim"),$I$27/$N$15*I$15*'R-Avançado'!$F$11/100,0)</f>
        <v>3.69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53" t="str">
        <f>IF(E29&gt;100,"Máx. é 100 t/d. Rever Célula E25","")</f>
        <v/>
      </c>
      <c r="G28" s="640"/>
      <c r="H28" s="594" t="s">
        <v>81</v>
      </c>
      <c r="I28" s="959" t="s">
        <v>62</v>
      </c>
      <c r="J28" s="530"/>
      <c r="K28" s="625" t="s">
        <v>32</v>
      </c>
      <c r="L28" s="114">
        <f t="shared" si="1"/>
        <v>3.5362499999999999</v>
      </c>
      <c r="M28" s="115">
        <f>IF($E$28="Sim",J$13*'R-Avançado'!$H$11/100*$E$29/$N$13,0)</f>
        <v>0</v>
      </c>
      <c r="N28" s="115">
        <f>IF($E$32="Sim",J$13*'R-Avançado'!$G$11/100*$E$33/$N$13,0)</f>
        <v>0</v>
      </c>
      <c r="O28" s="628">
        <f>IF(AND($I$25&gt;0,$I$24="Sim"),$I$27/$N$15*J$15*'R-Avançado'!$F$11/100,0)</f>
        <v>3.5362499999999999</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54"/>
      <c r="G29" s="640"/>
      <c r="H29" s="594" t="s">
        <v>83</v>
      </c>
      <c r="I29" s="959" t="s">
        <v>61</v>
      </c>
      <c r="J29" s="530"/>
      <c r="K29" s="625" t="s">
        <v>84</v>
      </c>
      <c r="L29" s="114">
        <f t="shared" si="1"/>
        <v>0.92249999999999999</v>
      </c>
      <c r="M29" s="115">
        <f>IF($E$28="Sim",K$13*'R-Avançado'!$H$11/100*$E$29/$N$13,0)</f>
        <v>0</v>
      </c>
      <c r="N29" s="115">
        <f>IF($E$32="Sim",K$13*'R-Avançado'!$G$11/100*$E$33/$N$13,0)</f>
        <v>0</v>
      </c>
      <c r="O29" s="628">
        <f>IF(AND($I$25&gt;0,$I$24="Sim"),$I$27/$N$15*K$15*'R-Avançado'!$F$11/100,0)</f>
        <v>0.92249999999999999</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54"/>
      <c r="G30" s="434"/>
      <c r="H30" s="434"/>
      <c r="I30" s="434"/>
      <c r="J30" s="602"/>
      <c r="K30" s="626" t="s">
        <v>513</v>
      </c>
      <c r="L30" s="116">
        <f>SUM(L24:L29)</f>
        <v>49.046250000000001</v>
      </c>
      <c r="M30" s="199">
        <f>SUM(M24:M29)</f>
        <v>0</v>
      </c>
      <c r="N30" s="199">
        <f>SUM(N24:N29)</f>
        <v>0</v>
      </c>
      <c r="O30" s="629">
        <f>SUM(O24:O29)</f>
        <v>49.046250000000001</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62" t="s">
        <v>85</v>
      </c>
      <c r="H31" s="2163"/>
      <c r="I31" s="2164"/>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53" t="str">
        <f>IF(AND(E24&gt;0,E33&lt;50,E33&gt;0),"Mín. é 50 t/d. Rever Célula E25","")</f>
        <v/>
      </c>
      <c r="G32" s="631"/>
      <c r="H32" s="594" t="s">
        <v>92</v>
      </c>
      <c r="I32" s="732" t="s">
        <v>89</v>
      </c>
      <c r="J32" s="434"/>
      <c r="K32" s="233" t="s">
        <v>780</v>
      </c>
      <c r="L32" s="98">
        <f>O32+O33</f>
        <v>268.69350000000003</v>
      </c>
      <c r="M32" s="644"/>
      <c r="N32" s="987" t="s">
        <v>54</v>
      </c>
      <c r="O32" s="985">
        <f>IF(AND($I$25&gt;0,$I$24="Sim"),I27/N15*D15*'R-Avançado'!E11/100,0)</f>
        <v>253.01100000000002</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54"/>
      <c r="G33" s="631"/>
      <c r="H33" s="594" t="s">
        <v>93</v>
      </c>
      <c r="I33" s="732" t="s">
        <v>89</v>
      </c>
      <c r="J33" s="434"/>
      <c r="K33" s="233" t="s">
        <v>781</v>
      </c>
      <c r="L33" s="98">
        <f>'R-Entrada'!E45</f>
        <v>0</v>
      </c>
      <c r="M33" s="645"/>
      <c r="N33" s="987" t="s">
        <v>55</v>
      </c>
      <c r="O33" s="985">
        <f>IF(AND($I$25&gt;0,$I$24="Sim"),I27/N15*E15*'R-Avançado'!E11/100,0)</f>
        <v>15.682499999999999</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54"/>
      <c r="G34" s="641"/>
      <c r="H34" s="594" t="s">
        <v>960</v>
      </c>
      <c r="I34" s="958" t="s">
        <v>89</v>
      </c>
      <c r="J34" s="434"/>
      <c r="K34" s="642" t="s">
        <v>818</v>
      </c>
      <c r="L34" s="98">
        <f>SUM(M34:O34)</f>
        <v>232.47</v>
      </c>
      <c r="M34" s="98">
        <f>IF(E28="Sim",E29*(1-'R-Avançado'!H11/100)*0.9,0)</f>
        <v>0</v>
      </c>
      <c r="N34" s="986">
        <f>IF(E32="Sim",E33*(1-'R-Avançado'!G11/100)*0.9,0)</f>
        <v>0</v>
      </c>
      <c r="O34" s="98">
        <f>D43+E43+F43+G43+H43+L43</f>
        <v>232.47</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64.790250000000015</v>
      </c>
      <c r="M35" s="98">
        <f>IF(E28="Sim",E29*(1-'R-Avançado'!H11/100)*0.1,0)</f>
        <v>0</v>
      </c>
      <c r="N35" s="98">
        <f>IF(E32="Sim",E33*(1-'R-Avançado'!G11/100)*0.1,0)</f>
        <v>0</v>
      </c>
      <c r="O35" s="98">
        <f>M43+K43+J43+I43</f>
        <v>64.790250000000015</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15" t="s">
        <v>514</v>
      </c>
      <c r="E38" s="2122"/>
      <c r="F38" s="2122"/>
      <c r="G38" s="2122"/>
      <c r="H38" s="2122"/>
      <c r="I38" s="2122"/>
      <c r="J38" s="2122"/>
      <c r="K38" s="2122"/>
      <c r="L38" s="2122"/>
      <c r="M38" s="2122"/>
      <c r="N38" s="2122"/>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15" t="s">
        <v>25</v>
      </c>
      <c r="E39" s="2152"/>
      <c r="F39" s="2123" t="s">
        <v>49</v>
      </c>
      <c r="G39" s="2115" t="s">
        <v>475</v>
      </c>
      <c r="H39" s="2152"/>
      <c r="I39" s="2115" t="s">
        <v>51</v>
      </c>
      <c r="J39" s="2115" t="s">
        <v>52</v>
      </c>
      <c r="K39" s="2152"/>
      <c r="L39" s="2115" t="s">
        <v>477</v>
      </c>
      <c r="M39" s="2152"/>
      <c r="N39" s="2133"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55"/>
      <c r="G40" s="499" t="s">
        <v>56</v>
      </c>
      <c r="H40" s="499" t="s">
        <v>57</v>
      </c>
      <c r="I40" s="2152"/>
      <c r="J40" s="499" t="s">
        <v>58</v>
      </c>
      <c r="K40" s="499" t="s">
        <v>510</v>
      </c>
      <c r="L40" s="499" t="s">
        <v>478</v>
      </c>
      <c r="M40" s="500" t="s">
        <v>509</v>
      </c>
      <c r="N40" s="2152"/>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297.66000000000003</v>
      </c>
      <c r="E41" s="121">
        <f t="shared" si="2"/>
        <v>18.45</v>
      </c>
      <c r="F41" s="121">
        <f t="shared" si="2"/>
        <v>80.564999999999998</v>
      </c>
      <c r="G41" s="121">
        <f t="shared" si="2"/>
        <v>54.735000000000007</v>
      </c>
      <c r="H41" s="121">
        <f t="shared" si="2"/>
        <v>28.29</v>
      </c>
      <c r="I41" s="121">
        <f t="shared" si="2"/>
        <v>14.76</v>
      </c>
      <c r="J41" s="121">
        <f t="shared" si="2"/>
        <v>14.145</v>
      </c>
      <c r="K41" s="121">
        <f t="shared" si="2"/>
        <v>3.69</v>
      </c>
      <c r="L41" s="121">
        <f t="shared" si="2"/>
        <v>62.360999999999997</v>
      </c>
      <c r="M41" s="121">
        <f t="shared" si="2"/>
        <v>40.344000000000015</v>
      </c>
      <c r="N41" s="98">
        <f>SUM(D41:M41)</f>
        <v>615.00000000000011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253.01100000000002</v>
      </c>
      <c r="E42" s="121">
        <f>O33</f>
        <v>15.682499999999999</v>
      </c>
      <c r="F42" s="121">
        <f>O24</f>
        <v>20.141249999999999</v>
      </c>
      <c r="G42" s="121">
        <f>O25</f>
        <v>13.68375</v>
      </c>
      <c r="H42" s="121">
        <f>O26</f>
        <v>7.0724999999999998</v>
      </c>
      <c r="I42" s="121">
        <f>O27</f>
        <v>3.69</v>
      </c>
      <c r="J42" s="121">
        <f>O28</f>
        <v>3.5362499999999999</v>
      </c>
      <c r="K42" s="121">
        <f>O29</f>
        <v>0.92249999999999999</v>
      </c>
      <c r="L42" s="121">
        <v>0</v>
      </c>
      <c r="M42" s="121">
        <v>0</v>
      </c>
      <c r="N42" s="98">
        <f>SUM(D42:M42)</f>
        <v>317.73975000000002</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44.649000000000001</v>
      </c>
      <c r="E43" s="122">
        <f t="shared" si="3"/>
        <v>2.7675000000000001</v>
      </c>
      <c r="F43" s="122">
        <f t="shared" si="3"/>
        <v>60.423749999999998</v>
      </c>
      <c r="G43" s="122">
        <f t="shared" si="3"/>
        <v>41.05125000000001</v>
      </c>
      <c r="H43" s="122">
        <f t="shared" si="3"/>
        <v>21.217500000000001</v>
      </c>
      <c r="I43" s="122">
        <f t="shared" si="3"/>
        <v>11.07</v>
      </c>
      <c r="J43" s="122">
        <f t="shared" si="3"/>
        <v>10.608750000000001</v>
      </c>
      <c r="K43" s="122">
        <f t="shared" si="3"/>
        <v>2.7675000000000001</v>
      </c>
      <c r="L43" s="122">
        <f t="shared" si="3"/>
        <v>62.360999999999997</v>
      </c>
      <c r="M43" s="122">
        <f t="shared" si="3"/>
        <v>40.344000000000015</v>
      </c>
      <c r="N43" s="98">
        <f>SUM(D43:M43)</f>
        <v>297.26025000000004</v>
      </c>
      <c r="O43" s="548"/>
      <c r="P43" s="492"/>
      <c r="Q43" s="544"/>
      <c r="R43" s="544"/>
      <c r="S43" s="544" t="s">
        <v>62</v>
      </c>
      <c r="T43" s="544">
        <f>IF($I$28="CDR",O34,0)</f>
        <v>232.47</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232.47</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110.42325</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232.47</v>
      </c>
      <c r="F51" s="434"/>
      <c r="G51" s="92"/>
      <c r="H51" s="118" t="s">
        <v>520</v>
      </c>
      <c r="I51" s="98">
        <f>IF(E52=0,I49,0)</f>
        <v>232.47</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116.235</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5.81175</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268.69350000000003</v>
      </c>
      <c r="F59" s="356">
        <f>IF(E59&gt;0,E59/E60,"")</f>
        <v>1</v>
      </c>
      <c r="G59" s="433"/>
      <c r="H59" s="132"/>
      <c r="I59" s="118" t="s">
        <v>110</v>
      </c>
      <c r="J59" s="131">
        <v>100</v>
      </c>
      <c r="K59" s="653" t="str">
        <f>IF(J59&lt;&gt;0,"&gt;&gt;&gt;&gt;","")</f>
        <v>&gt;&gt;&gt;&gt;</v>
      </c>
      <c r="L59" s="654">
        <f>IF(J59&gt;0,J59/100*E60,"")</f>
        <v>268.69350000000003</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268.69350000000003</v>
      </c>
      <c r="F60" s="358">
        <f>IF(E60&gt;0,E60/E60,"")</f>
        <v>1</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60" t="s">
        <v>113</v>
      </c>
      <c r="O61" s="2161"/>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268.69350000000003</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228.389475</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228.389475</v>
      </c>
      <c r="K68" s="433"/>
      <c r="L68" s="433"/>
      <c r="M68" s="132"/>
      <c r="N68" s="118" t="s">
        <v>134</v>
      </c>
      <c r="O68" s="661">
        <f>O64-O64*(F69+F71)</f>
        <v>102.77526374999999</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33707.599575000007</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8426.8998937500019</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69" t="s">
        <v>126</v>
      </c>
      <c r="J72" s="2170"/>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57.097368750000001</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108.82086749999999</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67" t="s">
        <v>533</v>
      </c>
      <c r="E77" s="2168"/>
      <c r="F77" s="2168"/>
      <c r="G77" s="2168"/>
      <c r="H77" s="2168"/>
      <c r="I77" s="2168"/>
      <c r="J77" s="2168"/>
      <c r="K77" s="2168"/>
      <c r="L77" s="2168"/>
      <c r="M77" s="2168"/>
      <c r="N77" s="2168"/>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67" t="s">
        <v>25</v>
      </c>
      <c r="E78" s="2168"/>
      <c r="F78" s="2172" t="s">
        <v>49</v>
      </c>
      <c r="G78" s="2167" t="s">
        <v>475</v>
      </c>
      <c r="H78" s="2168"/>
      <c r="I78" s="2167" t="s">
        <v>476</v>
      </c>
      <c r="J78" s="2167" t="s">
        <v>52</v>
      </c>
      <c r="K78" s="2168"/>
      <c r="L78" s="2167" t="s">
        <v>477</v>
      </c>
      <c r="M78" s="2168"/>
      <c r="N78" s="2171"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73"/>
      <c r="G79" s="505" t="s">
        <v>56</v>
      </c>
      <c r="H79" s="505" t="s">
        <v>57</v>
      </c>
      <c r="I79" s="2168"/>
      <c r="J79" s="505" t="s">
        <v>58</v>
      </c>
      <c r="K79" s="505" t="s">
        <v>510</v>
      </c>
      <c r="L79" s="505" t="s">
        <v>478</v>
      </c>
      <c r="M79" s="506" t="s">
        <v>509</v>
      </c>
      <c r="N79" s="2168"/>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44.649000000000001</v>
      </c>
      <c r="E80" s="135">
        <f t="shared" si="5"/>
        <v>2.7675000000000001</v>
      </c>
      <c r="F80" s="135">
        <f t="shared" si="5"/>
        <v>60.423749999999998</v>
      </c>
      <c r="G80" s="135">
        <f t="shared" si="5"/>
        <v>41.05125000000001</v>
      </c>
      <c r="H80" s="135">
        <f t="shared" si="5"/>
        <v>21.217500000000001</v>
      </c>
      <c r="I80" s="135">
        <f t="shared" si="5"/>
        <v>11.07</v>
      </c>
      <c r="J80" s="135">
        <f t="shared" si="5"/>
        <v>10.608750000000001</v>
      </c>
      <c r="K80" s="135">
        <f t="shared" si="5"/>
        <v>2.7675000000000001</v>
      </c>
      <c r="L80" s="135">
        <f t="shared" si="5"/>
        <v>62.360999999999997</v>
      </c>
      <c r="M80" s="135">
        <f t="shared" si="5"/>
        <v>40.344000000000015</v>
      </c>
      <c r="N80" s="669">
        <f>SUM(D80:M80)</f>
        <v>297.26025000000004</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44.649000000000001</v>
      </c>
      <c r="E82" s="141">
        <f t="shared" si="7"/>
        <v>2.7675000000000001</v>
      </c>
      <c r="F82" s="141">
        <f t="shared" si="7"/>
        <v>60.423749999999998</v>
      </c>
      <c r="G82" s="141">
        <f t="shared" si="7"/>
        <v>41.05125000000001</v>
      </c>
      <c r="H82" s="141">
        <f t="shared" si="7"/>
        <v>21.217500000000001</v>
      </c>
      <c r="I82" s="141">
        <f t="shared" si="7"/>
        <v>11.07</v>
      </c>
      <c r="J82" s="141">
        <f t="shared" si="7"/>
        <v>10.608750000000001</v>
      </c>
      <c r="K82" s="141">
        <f t="shared" si="7"/>
        <v>2.7675000000000001</v>
      </c>
      <c r="L82" s="141">
        <f t="shared" si="7"/>
        <v>62.360999999999997</v>
      </c>
      <c r="M82" s="141">
        <f t="shared" si="7"/>
        <v>40.344000000000015</v>
      </c>
      <c r="N82" s="670">
        <f>SUM(D82:M82)</f>
        <v>297.26025000000004</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44.649000000000001</v>
      </c>
      <c r="E86" s="200">
        <f t="shared" si="8"/>
        <v>2.7675000000000001</v>
      </c>
      <c r="F86" s="200">
        <f t="shared" si="8"/>
        <v>60.423749999999998</v>
      </c>
      <c r="G86" s="200">
        <f t="shared" si="8"/>
        <v>41.05125000000001</v>
      </c>
      <c r="H86" s="200">
        <f t="shared" si="8"/>
        <v>21.217500000000001</v>
      </c>
      <c r="I86" s="200">
        <f t="shared" si="8"/>
        <v>0</v>
      </c>
      <c r="J86" s="200">
        <f t="shared" si="8"/>
        <v>0</v>
      </c>
      <c r="K86" s="200">
        <f t="shared" si="8"/>
        <v>0</v>
      </c>
      <c r="L86" s="200">
        <f t="shared" si="8"/>
        <v>62.360999999999997</v>
      </c>
      <c r="M86" s="200">
        <f t="shared" si="8"/>
        <v>0</v>
      </c>
      <c r="N86" s="200">
        <f>SUM(D86:M86)</f>
        <v>232.47</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44.649000000000001</v>
      </c>
      <c r="E87" s="143">
        <f>IF($E$51&gt;0,E43,0)</f>
        <v>2.7675000000000001</v>
      </c>
      <c r="F87" s="143">
        <f>IF($E$51&gt;0,F43,0)</f>
        <v>60.423749999999998</v>
      </c>
      <c r="G87" s="143">
        <f>IF($E$51&gt;0,G43,0)</f>
        <v>41.05125000000001</v>
      </c>
      <c r="H87" s="143">
        <f>IF($E$51&gt;0,H43,0)</f>
        <v>21.217500000000001</v>
      </c>
      <c r="I87" s="133"/>
      <c r="J87" s="133"/>
      <c r="K87" s="133"/>
      <c r="L87" s="156">
        <f>IF($E$51&gt;0,L43,0)</f>
        <v>62.360999999999997</v>
      </c>
      <c r="M87" s="143"/>
      <c r="N87" s="677">
        <f>SUM(D87:M87)</f>
        <v>232.47</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0</v>
      </c>
      <c r="E90" s="135">
        <f t="shared" si="9"/>
        <v>0</v>
      </c>
      <c r="F90" s="135">
        <f t="shared" si="9"/>
        <v>0</v>
      </c>
      <c r="G90" s="135">
        <f t="shared" si="9"/>
        <v>0</v>
      </c>
      <c r="H90" s="135">
        <f t="shared" si="9"/>
        <v>0</v>
      </c>
      <c r="I90" s="135">
        <f t="shared" si="9"/>
        <v>11.07</v>
      </c>
      <c r="J90" s="135">
        <f t="shared" si="9"/>
        <v>10.608750000000001</v>
      </c>
      <c r="K90" s="135">
        <f t="shared" si="9"/>
        <v>2.7675000000000001</v>
      </c>
      <c r="L90" s="135">
        <f t="shared" si="9"/>
        <v>0</v>
      </c>
      <c r="M90" s="135">
        <f t="shared" si="9"/>
        <v>40.344000000000015</v>
      </c>
      <c r="N90" s="669">
        <f>SUM(D90:M90)</f>
        <v>64.790250000000015</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11.07</v>
      </c>
      <c r="J94" s="200">
        <f t="shared" si="11"/>
        <v>10.608750000000001</v>
      </c>
      <c r="K94" s="200">
        <f t="shared" si="11"/>
        <v>2.7675000000000001</v>
      </c>
      <c r="L94" s="200">
        <f t="shared" si="11"/>
        <v>0</v>
      </c>
      <c r="M94" s="200">
        <f>SUM(M95:M101)</f>
        <v>213.67636875000002</v>
      </c>
      <c r="N94" s="200">
        <f t="shared" ref="N94:N101" si="12">SUM(D94:M94)</f>
        <v>238.12261875000002</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11.07</v>
      </c>
      <c r="J96" s="141">
        <f t="shared" si="14"/>
        <v>10.608750000000001</v>
      </c>
      <c r="K96" s="141">
        <f t="shared" si="14"/>
        <v>2.7675000000000001</v>
      </c>
      <c r="L96" s="141">
        <f>IF(OR($I$28="Incineração",I28="CDR"),0,L43)</f>
        <v>0</v>
      </c>
      <c r="M96" s="141">
        <f>IF($I$28="Incineração",0,M43)</f>
        <v>40.344000000000015</v>
      </c>
      <c r="N96" s="670">
        <f t="shared" si="12"/>
        <v>64.790250000000015</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173.33236875</v>
      </c>
      <c r="N100" s="670">
        <f t="shared" si="12"/>
        <v>173.33236875</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65"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0</v>
      </c>
      <c r="F110" s="2166"/>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0</v>
      </c>
      <c r="F111" s="2166"/>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0</v>
      </c>
      <c r="F112" s="2166"/>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66"/>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0</v>
      </c>
      <c r="F114" s="2166"/>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66"/>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238.12261875000002</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161.18773312499999</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3" sqref="F13"/>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97" t="str">
        <f>IF('R-Entrada'!D2&lt;&gt;0,'R-Entrada'!D2,"")</f>
        <v>CIRSOP - Consórcio RSU Oeste Paulista</v>
      </c>
      <c r="E2" s="2198"/>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97" t="str">
        <f>IF('R-Entrada'!D3&lt;&gt;0,'R-Entrada'!D3,"")</f>
        <v>Biodigestão c/ Prod. E. Elétrica</v>
      </c>
      <c r="E3" s="2198"/>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99" t="s">
        <v>473</v>
      </c>
      <c r="O5" s="2200"/>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6" t="str">
        <f>Apresentação!I2</f>
        <v>RC-RSU V.1.0 - 15/10/2020</v>
      </c>
      <c r="O6" s="2200"/>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83" t="s">
        <v>958</v>
      </c>
      <c r="F8" s="2184"/>
      <c r="G8" s="2184"/>
      <c r="H8" s="2185"/>
      <c r="I8" s="484"/>
      <c r="J8" s="2189"/>
      <c r="K8" s="2190"/>
      <c r="L8" s="2186" t="s">
        <v>186</v>
      </c>
      <c r="M8" s="2186" t="s">
        <v>535</v>
      </c>
      <c r="N8" s="484"/>
      <c r="O8" s="484"/>
      <c r="P8" s="484"/>
      <c r="Q8" s="484"/>
      <c r="R8" s="484"/>
      <c r="S8" s="484"/>
      <c r="T8" s="484"/>
      <c r="U8" s="484"/>
    </row>
    <row r="9" spans="1:21" ht="18" customHeight="1" x14ac:dyDescent="0.25">
      <c r="A9" s="484"/>
      <c r="B9" s="484"/>
      <c r="C9" s="484"/>
      <c r="D9" s="2175"/>
      <c r="E9" s="748" t="s">
        <v>25</v>
      </c>
      <c r="F9" s="2183" t="s">
        <v>959</v>
      </c>
      <c r="G9" s="2184"/>
      <c r="H9" s="2185"/>
      <c r="I9" s="484"/>
      <c r="J9" s="2191"/>
      <c r="K9" s="2192"/>
      <c r="L9" s="2187"/>
      <c r="M9" s="2187"/>
      <c r="N9" s="484"/>
      <c r="O9" s="484"/>
      <c r="P9" s="484"/>
      <c r="Q9" s="484"/>
      <c r="R9" s="484"/>
      <c r="S9" s="484"/>
      <c r="T9" s="484"/>
      <c r="U9" s="484"/>
    </row>
    <row r="10" spans="1:21" ht="18" customHeight="1" x14ac:dyDescent="0.25">
      <c r="A10" s="484"/>
      <c r="B10" s="484"/>
      <c r="C10" s="484"/>
      <c r="D10" s="2176"/>
      <c r="E10" s="1627" t="s">
        <v>730</v>
      </c>
      <c r="F10" s="517" t="s">
        <v>730</v>
      </c>
      <c r="G10" s="517" t="s">
        <v>731</v>
      </c>
      <c r="H10" s="517" t="s">
        <v>557</v>
      </c>
      <c r="I10" s="484"/>
      <c r="J10" s="2193"/>
      <c r="K10" s="2194"/>
      <c r="L10" s="2187"/>
      <c r="M10" s="2187"/>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8" t="s">
        <v>536</v>
      </c>
      <c r="K11" s="2188"/>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8" t="s">
        <v>537</v>
      </c>
      <c r="K12" s="2188"/>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177" t="s">
        <v>191</v>
      </c>
      <c r="E17" s="514" t="s">
        <v>192</v>
      </c>
      <c r="F17" s="514" t="s">
        <v>999</v>
      </c>
      <c r="G17" s="484"/>
      <c r="H17" s="2179"/>
      <c r="I17" s="2179" t="s">
        <v>193</v>
      </c>
      <c r="J17" s="2168"/>
      <c r="K17" s="484"/>
      <c r="L17" s="2178" t="s">
        <v>744</v>
      </c>
      <c r="M17" s="2152"/>
      <c r="N17" s="484"/>
      <c r="O17" s="484"/>
      <c r="P17" s="484"/>
      <c r="Q17" s="484"/>
      <c r="R17" s="484"/>
      <c r="S17" s="484"/>
      <c r="T17" s="484"/>
      <c r="U17" s="484"/>
    </row>
    <row r="18" spans="1:21" ht="18" customHeight="1" x14ac:dyDescent="0.25">
      <c r="A18" s="484"/>
      <c r="B18" s="484"/>
      <c r="C18" s="729"/>
      <c r="D18" s="2168"/>
      <c r="E18" s="1712" t="s">
        <v>1062</v>
      </c>
      <c r="F18" s="1712" t="s">
        <v>998</v>
      </c>
      <c r="G18" s="484"/>
      <c r="H18" s="2168"/>
      <c r="I18" s="514" t="s">
        <v>189</v>
      </c>
      <c r="J18" s="717" t="s">
        <v>132</v>
      </c>
      <c r="K18" s="484"/>
      <c r="L18" s="2152"/>
      <c r="M18" s="2152"/>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80" t="s">
        <v>745</v>
      </c>
      <c r="E23" s="2181"/>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80" t="s">
        <v>538</v>
      </c>
      <c r="E24" s="2181"/>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206"/>
      <c r="D27" s="2207"/>
      <c r="E27" s="2207"/>
      <c r="F27" s="340" t="s">
        <v>195</v>
      </c>
      <c r="G27" s="484"/>
      <c r="H27" s="2182" t="s">
        <v>539</v>
      </c>
      <c r="I27" s="2152"/>
      <c r="J27" s="2152"/>
      <c r="K27" s="484"/>
      <c r="L27" s="2205"/>
      <c r="M27" s="2168"/>
      <c r="N27" s="2168"/>
      <c r="O27" s="514" t="s">
        <v>289</v>
      </c>
      <c r="P27" s="484"/>
      <c r="Q27" s="484"/>
      <c r="R27" s="484"/>
      <c r="S27" s="484"/>
      <c r="T27" s="484"/>
      <c r="U27" s="484"/>
    </row>
    <row r="28" spans="1:21" ht="18" customHeight="1" x14ac:dyDescent="0.25">
      <c r="A28" s="484"/>
      <c r="B28" s="484"/>
      <c r="C28" s="2180" t="s">
        <v>746</v>
      </c>
      <c r="D28" s="2181"/>
      <c r="E28" s="2181"/>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80" t="s">
        <v>196</v>
      </c>
      <c r="D29" s="2181"/>
      <c r="E29" s="2181"/>
      <c r="F29" s="214">
        <v>20</v>
      </c>
      <c r="G29" s="484"/>
      <c r="H29" s="214">
        <v>50</v>
      </c>
      <c r="I29" s="214">
        <v>30</v>
      </c>
      <c r="J29" s="214">
        <v>10</v>
      </c>
      <c r="K29" s="484"/>
      <c r="L29" s="2195" t="s">
        <v>541</v>
      </c>
      <c r="M29" s="2196"/>
      <c r="N29" s="2196"/>
      <c r="O29" s="1585">
        <v>35</v>
      </c>
      <c r="P29" s="484"/>
      <c r="Q29" s="484"/>
      <c r="R29" s="484"/>
      <c r="S29" s="484"/>
      <c r="T29" s="484"/>
      <c r="U29" s="484"/>
    </row>
    <row r="30" spans="1:21" ht="18" customHeight="1" x14ac:dyDescent="0.25">
      <c r="A30" s="484"/>
      <c r="B30" s="484"/>
      <c r="C30" s="2180" t="s">
        <v>159</v>
      </c>
      <c r="D30" s="2181"/>
      <c r="E30" s="2181"/>
      <c r="F30" s="214">
        <v>90</v>
      </c>
      <c r="G30" s="484"/>
      <c r="H30" s="170"/>
      <c r="I30" s="213"/>
      <c r="J30" s="170"/>
      <c r="K30" s="484"/>
      <c r="L30" s="2195" t="s">
        <v>747</v>
      </c>
      <c r="M30" s="2196"/>
      <c r="N30" s="2196"/>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203"/>
      <c r="C33" s="2204"/>
      <c r="D33" s="2204"/>
      <c r="E33" s="2115" t="s">
        <v>198</v>
      </c>
      <c r="F33" s="2152"/>
      <c r="G33" s="2152"/>
      <c r="H33" s="2152"/>
      <c r="I33" s="2152"/>
      <c r="J33" s="2152"/>
      <c r="K33" s="2152"/>
      <c r="L33" s="2152"/>
      <c r="M33" s="2152"/>
      <c r="N33" s="2152"/>
      <c r="O33" s="484"/>
      <c r="P33" s="484"/>
      <c r="Q33" s="484"/>
      <c r="R33" s="484"/>
      <c r="S33" s="484"/>
      <c r="T33" s="484"/>
      <c r="U33" s="484"/>
    </row>
    <row r="34" spans="1:21" ht="18" customHeight="1" x14ac:dyDescent="0.25">
      <c r="A34" s="484"/>
      <c r="B34" s="2204"/>
      <c r="C34" s="2204"/>
      <c r="D34" s="2204"/>
      <c r="E34" s="2115" t="s">
        <v>25</v>
      </c>
      <c r="F34" s="2152"/>
      <c r="G34" s="2123" t="s">
        <v>49</v>
      </c>
      <c r="H34" s="2115" t="s">
        <v>475</v>
      </c>
      <c r="I34" s="2152"/>
      <c r="J34" s="2115" t="s">
        <v>476</v>
      </c>
      <c r="K34" s="2115" t="s">
        <v>52</v>
      </c>
      <c r="L34" s="2152"/>
      <c r="M34" s="2115" t="s">
        <v>477</v>
      </c>
      <c r="N34" s="2152"/>
      <c r="O34" s="484"/>
      <c r="P34" s="484"/>
      <c r="Q34" s="484"/>
      <c r="R34" s="484"/>
      <c r="S34" s="484"/>
      <c r="T34" s="484"/>
      <c r="U34" s="484"/>
    </row>
    <row r="35" spans="1:21" ht="18" customHeight="1" x14ac:dyDescent="0.25">
      <c r="A35" s="484"/>
      <c r="B35" s="2204"/>
      <c r="C35" s="2204"/>
      <c r="D35" s="2204"/>
      <c r="E35" s="499" t="s">
        <v>54</v>
      </c>
      <c r="F35" s="499" t="s">
        <v>479</v>
      </c>
      <c r="G35" s="2152"/>
      <c r="H35" s="499" t="s">
        <v>56</v>
      </c>
      <c r="I35" s="499" t="s">
        <v>57</v>
      </c>
      <c r="J35" s="2152"/>
      <c r="K35" s="499" t="s">
        <v>58</v>
      </c>
      <c r="L35" s="499" t="s">
        <v>510</v>
      </c>
      <c r="M35" s="499" t="s">
        <v>478</v>
      </c>
      <c r="N35" s="499" t="s">
        <v>509</v>
      </c>
      <c r="O35" s="484"/>
      <c r="P35" s="484"/>
      <c r="Q35" s="484"/>
      <c r="R35" s="484"/>
      <c r="S35" s="484"/>
      <c r="T35" s="484"/>
      <c r="U35" s="484"/>
    </row>
    <row r="36" spans="1:21" ht="18" customHeight="1" x14ac:dyDescent="0.25">
      <c r="A36" s="484"/>
      <c r="B36" s="2188" t="s">
        <v>480</v>
      </c>
      <c r="C36" s="2202"/>
      <c r="D36" s="2202"/>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8" t="s">
        <v>748</v>
      </c>
      <c r="C37" s="2202"/>
      <c r="D37" s="2202"/>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201" t="s">
        <v>831</v>
      </c>
      <c r="C38" s="2202"/>
      <c r="D38" s="2202"/>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7" t="s">
        <v>834</v>
      </c>
      <c r="C1" s="2238"/>
      <c r="D1" s="2238"/>
      <c r="E1" s="2238"/>
      <c r="F1" s="2238"/>
      <c r="G1" s="2238"/>
      <c r="H1" s="2238"/>
      <c r="I1" s="2238"/>
      <c r="J1" s="2238"/>
      <c r="K1" s="2238"/>
      <c r="L1" s="2238"/>
      <c r="M1" s="2238"/>
      <c r="N1" s="2238"/>
      <c r="O1" s="2238"/>
      <c r="P1" s="2239"/>
      <c r="Q1" s="2239"/>
      <c r="R1" s="2223" t="s">
        <v>199</v>
      </c>
      <c r="S1" s="2224"/>
      <c r="T1" s="2224"/>
      <c r="U1" s="2224"/>
      <c r="V1" s="2230" t="str">
        <f>IF('R-Entrada'!D3&lt;&gt;0,'R-Entrada'!D3,"")</f>
        <v>Biodigestão c/ Prod. E. Elétrica</v>
      </c>
      <c r="W1" s="2231"/>
      <c r="X1" s="2231"/>
      <c r="Y1" s="2231"/>
      <c r="Z1" s="2231"/>
      <c r="AA1" s="2231"/>
      <c r="AB1" s="2232"/>
      <c r="AC1" s="2223" t="s">
        <v>4</v>
      </c>
      <c r="AD1" s="2224"/>
      <c r="AE1" s="2224"/>
      <c r="AF1" s="2224"/>
      <c r="AG1" s="2230" t="str">
        <f>IF('R-Entrada'!D2&lt;&gt;0,'R-Entrada'!D2,"")</f>
        <v>CIRSOP - Consórcio RSU Oeste Paulista</v>
      </c>
      <c r="AH1" s="2231"/>
      <c r="AI1" s="2231"/>
      <c r="AJ1" s="2231"/>
      <c r="AK1" s="2231"/>
      <c r="AL1" s="2231"/>
      <c r="AM1" s="2231"/>
      <c r="AN1" s="2231"/>
      <c r="AO1" s="2231"/>
      <c r="AP1" s="2231"/>
      <c r="AQ1" s="2231"/>
      <c r="AR1" s="2232"/>
      <c r="AS1" s="1026" t="s">
        <v>828</v>
      </c>
      <c r="AT1" s="1023"/>
      <c r="AV1" s="165"/>
    </row>
    <row r="2" spans="2:69" s="164" customFormat="1" ht="3" customHeight="1" x14ac:dyDescent="0.25">
      <c r="B2" s="2233"/>
      <c r="C2" s="2209"/>
      <c r="D2" s="2209"/>
      <c r="E2" s="2209"/>
      <c r="F2" s="2209"/>
      <c r="G2" s="2209"/>
      <c r="H2" s="2209"/>
      <c r="I2" s="2210"/>
      <c r="J2" s="166"/>
      <c r="K2" s="2227"/>
      <c r="L2" s="2209"/>
      <c r="M2" s="2209"/>
      <c r="N2" s="2209"/>
      <c r="O2" s="2209"/>
      <c r="P2" s="2209"/>
      <c r="Q2" s="2209"/>
      <c r="R2" s="2209"/>
      <c r="S2" s="2209"/>
      <c r="T2" s="2209"/>
      <c r="U2" s="2209"/>
      <c r="V2" s="2209"/>
      <c r="W2" s="2209"/>
      <c r="X2" s="2209"/>
      <c r="Y2" s="2209"/>
      <c r="Z2" s="2209"/>
      <c r="AA2" s="2209"/>
      <c r="AB2" s="2209"/>
      <c r="AC2" s="2209"/>
      <c r="AD2" s="2209"/>
      <c r="AE2" s="2209"/>
      <c r="AF2" s="2209"/>
      <c r="AG2" s="2209"/>
      <c r="AH2" s="2209"/>
      <c r="AI2" s="2209"/>
      <c r="AJ2" s="2210"/>
      <c r="AK2" s="2227"/>
      <c r="AL2" s="2209"/>
      <c r="AM2" s="2209"/>
      <c r="AN2" s="2209"/>
      <c r="AO2" s="2209"/>
      <c r="AP2" s="2209"/>
      <c r="AQ2" s="2209"/>
      <c r="AR2" s="2209"/>
      <c r="AS2" s="2209"/>
      <c r="AT2" s="2228"/>
      <c r="AU2" s="165"/>
    </row>
    <row r="3" spans="2:69" s="164" customFormat="1" ht="16.899999999999999" customHeight="1" x14ac:dyDescent="0.25">
      <c r="B3" s="167"/>
      <c r="C3" s="158">
        <f>'R-Entrada'!E14</f>
        <v>615</v>
      </c>
      <c r="D3" s="168"/>
      <c r="E3" s="2229" t="s">
        <v>200</v>
      </c>
      <c r="F3" s="2209"/>
      <c r="G3" s="2209"/>
      <c r="H3" s="2210"/>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29" t="s">
        <v>201</v>
      </c>
      <c r="F5" s="2209"/>
      <c r="G5" s="2209"/>
      <c r="H5" s="2210"/>
      <c r="I5" s="166"/>
      <c r="J5" s="166"/>
      <c r="K5" s="166"/>
      <c r="L5" s="166"/>
      <c r="M5" s="166"/>
      <c r="N5" s="166"/>
      <c r="O5" s="166"/>
      <c r="P5" s="166"/>
      <c r="Q5" s="166"/>
      <c r="R5" s="166"/>
      <c r="S5" s="166"/>
      <c r="T5" s="166"/>
      <c r="U5" s="166"/>
      <c r="V5" s="166"/>
      <c r="W5" s="166"/>
      <c r="X5" s="166"/>
      <c r="Y5" s="166"/>
      <c r="Z5" s="166"/>
      <c r="AA5" s="166"/>
      <c r="AB5" s="2234" t="s">
        <v>473</v>
      </c>
      <c r="AC5" s="2156"/>
      <c r="AD5" s="2156"/>
      <c r="AE5" s="2156"/>
      <c r="AF5" s="2156"/>
      <c r="AG5" s="2156"/>
      <c r="AH5" s="2156"/>
      <c r="AI5" s="2156"/>
      <c r="AJ5" s="2156"/>
      <c r="AK5" s="2156"/>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29" t="s">
        <v>59</v>
      </c>
      <c r="F7" s="2209"/>
      <c r="G7" s="2209"/>
      <c r="H7" s="2210"/>
      <c r="I7" s="166"/>
      <c r="J7" s="166"/>
      <c r="K7" s="166"/>
      <c r="L7" s="166"/>
      <c r="M7" s="166"/>
      <c r="N7" s="166"/>
      <c r="O7" s="166"/>
      <c r="P7" s="166"/>
      <c r="Q7" s="166"/>
      <c r="R7" s="166"/>
      <c r="S7" s="166"/>
      <c r="T7" s="166"/>
      <c r="U7" s="166"/>
      <c r="V7" s="166"/>
      <c r="W7" s="166"/>
      <c r="X7" s="166"/>
      <c r="Y7" s="166"/>
      <c r="Z7" s="166"/>
      <c r="AA7" s="166"/>
      <c r="AB7" s="2235" t="str">
        <f>Apresentação!I2</f>
        <v>RC-RSU V.1.0 - 15/10/2020</v>
      </c>
      <c r="AC7" s="2236"/>
      <c r="AD7" s="2236"/>
      <c r="AE7" s="2236"/>
      <c r="AF7" s="2236"/>
      <c r="AG7" s="2236"/>
      <c r="AH7" s="2236"/>
      <c r="AI7" s="2236"/>
      <c r="AJ7" s="2236"/>
      <c r="AK7" s="2236"/>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615</v>
      </c>
      <c r="D9" s="166"/>
      <c r="E9" s="2229" t="s">
        <v>202</v>
      </c>
      <c r="F9" s="2209"/>
      <c r="G9" s="2209"/>
      <c r="H9" s="2210"/>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615</v>
      </c>
      <c r="D11" s="166"/>
      <c r="E11" s="2225" t="s">
        <v>835</v>
      </c>
      <c r="F11" s="2226"/>
      <c r="G11" s="2226"/>
      <c r="H11" s="222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8" t="s">
        <v>203</v>
      </c>
      <c r="AP11" s="159"/>
      <c r="AQ11" s="2218" t="s">
        <v>204</v>
      </c>
      <c r="AR11" s="159"/>
      <c r="AS11" s="2218"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21"/>
      <c r="AP12" s="159"/>
      <c r="AQ12" s="2219"/>
      <c r="AR12" s="159"/>
      <c r="AS12" s="2219"/>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2"/>
      <c r="AP13" s="159"/>
      <c r="AQ13" s="2220"/>
      <c r="AR13" s="159"/>
      <c r="AS13" s="2220"/>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43" t="s">
        <v>832</v>
      </c>
      <c r="J15" s="2209"/>
      <c r="K15" s="2209"/>
      <c r="L15" s="2209"/>
      <c r="M15" s="2209"/>
      <c r="N15" s="2209"/>
      <c r="O15" s="2210"/>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43" t="s">
        <v>833</v>
      </c>
      <c r="M19" s="2209"/>
      <c r="N19" s="2209"/>
      <c r="O19" s="2209"/>
      <c r="P19" s="2209"/>
      <c r="Q19" s="2209"/>
      <c r="R19" s="2210"/>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615.00000000000011</v>
      </c>
      <c r="G23" s="166"/>
      <c r="H23" s="166"/>
      <c r="I23" s="166"/>
      <c r="J23" s="166"/>
      <c r="K23" s="166"/>
      <c r="L23" s="166"/>
      <c r="M23" s="166"/>
      <c r="N23" s="166"/>
      <c r="O23" s="166"/>
      <c r="P23" s="166"/>
      <c r="Q23" s="2243" t="s">
        <v>836</v>
      </c>
      <c r="R23" s="2209"/>
      <c r="S23" s="2209"/>
      <c r="T23" s="2209"/>
      <c r="U23" s="2209"/>
      <c r="V23" s="2209"/>
      <c r="W23" s="2210"/>
      <c r="X23" s="166"/>
      <c r="Y23" s="166"/>
      <c r="Z23" s="166"/>
      <c r="AA23" s="166"/>
      <c r="AB23" s="166"/>
      <c r="AC23" s="166"/>
      <c r="AD23" s="166"/>
      <c r="AE23" s="166"/>
      <c r="AF23" s="166"/>
      <c r="AG23" s="166"/>
      <c r="AH23" s="166"/>
      <c r="AI23" s="166"/>
      <c r="AJ23" s="166"/>
      <c r="AK23" s="166"/>
      <c r="AL23" s="166"/>
      <c r="AM23" s="166"/>
      <c r="AN23" s="159"/>
      <c r="AO23" s="158">
        <f>'R-Resumo Bal. Massa'!G64</f>
        <v>49.046250000000001</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44">
        <f>F15+F19+F23-AO15-AO19-AO23-AS17-AS21-AS25-S25</f>
        <v>232.47000000000008</v>
      </c>
      <c r="K25" s="2242"/>
      <c r="L25" s="2242"/>
      <c r="M25" s="2214"/>
      <c r="N25" s="166"/>
      <c r="O25" s="166"/>
      <c r="P25" s="166"/>
      <c r="Q25" s="166"/>
      <c r="R25" s="166"/>
      <c r="S25" s="2213">
        <f>IF('R-Definição'!I29&lt;&gt;"Aterro sanitário",'R-Resumo Bal. Massa'!F22,0)</f>
        <v>268.69350000000003</v>
      </c>
      <c r="T25" s="2214"/>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64.790250000000015</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232.47</v>
      </c>
      <c r="O27" s="166"/>
      <c r="P27" s="166"/>
      <c r="Q27" s="166"/>
      <c r="R27" s="166"/>
      <c r="S27" s="166"/>
      <c r="T27" s="166"/>
      <c r="U27" s="166"/>
      <c r="V27" s="2213">
        <f>'R-Resumo Bal. Massa'!B25</f>
        <v>232.47</v>
      </c>
      <c r="W27" s="2214"/>
      <c r="X27" s="166"/>
      <c r="Y27" s="2208" t="s">
        <v>100</v>
      </c>
      <c r="Z27" s="2209"/>
      <c r="AA27" s="2209"/>
      <c r="AB27" s="2210"/>
      <c r="AC27" s="166"/>
      <c r="AD27" s="166"/>
      <c r="AE27" s="166"/>
      <c r="AF27" s="166"/>
      <c r="AG27" s="166"/>
      <c r="AH27" s="166"/>
      <c r="AI27" s="166"/>
      <c r="AJ27" s="166"/>
      <c r="AK27" s="166"/>
      <c r="AL27" s="166"/>
      <c r="AM27" s="166"/>
      <c r="AN27" s="159"/>
      <c r="AO27" s="158">
        <f>'R-Resumo Bal. Massa'!E29</f>
        <v>110.42325</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13">
        <f>'R-Definição'!E59</f>
        <v>268.69350000000003</v>
      </c>
      <c r="T29" s="2214"/>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5.81175</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13">
        <f>SUM('R-Resumo Bal. Massa'!D40:D42)</f>
        <v>0</v>
      </c>
      <c r="K31" s="2242"/>
      <c r="L31" s="2242"/>
      <c r="M31" s="2214"/>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116.235</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13">
        <f>'R-Resumo Bal. Massa'!D36</f>
        <v>268.69350000000003</v>
      </c>
      <c r="T33" s="2214"/>
      <c r="U33" s="166"/>
      <c r="V33" s="166"/>
      <c r="W33" s="166"/>
      <c r="X33" s="166"/>
      <c r="Y33" s="2213">
        <f>'R-Definição'!E60*'R-Definição'!J59/100</f>
        <v>268.69350000000003</v>
      </c>
      <c r="Z33" s="2214"/>
      <c r="AA33" s="166"/>
      <c r="AB33" s="2215" t="s">
        <v>115</v>
      </c>
      <c r="AC33" s="2216"/>
      <c r="AD33" s="2216"/>
      <c r="AE33" s="2216"/>
      <c r="AF33" s="2217"/>
      <c r="AG33" s="166"/>
      <c r="AH33" s="166"/>
      <c r="AI33" s="166"/>
      <c r="AJ33" s="166"/>
      <c r="AK33" s="166"/>
      <c r="AL33" s="166"/>
      <c r="AM33" s="166"/>
      <c r="AN33" s="159"/>
      <c r="AO33" s="159"/>
      <c r="AP33" s="159"/>
      <c r="AQ33" s="158">
        <f>'R-Definição'!O62*'R-Definição'!F63</f>
        <v>40.304025000000003</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3">
        <f>'R-Definição'!J68</f>
        <v>228.389475</v>
      </c>
      <c r="AE35" s="2214"/>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13">
        <f>'R-Resumo Bal. Massa'!D35</f>
        <v>0</v>
      </c>
      <c r="T37" s="2214"/>
      <c r="U37" s="166"/>
      <c r="V37" s="166"/>
      <c r="W37" s="166"/>
      <c r="X37" s="166"/>
      <c r="Y37" s="166"/>
      <c r="Z37" s="166"/>
      <c r="AA37" s="166"/>
      <c r="AB37" s="166"/>
      <c r="AC37" s="166"/>
      <c r="AD37" s="2208" t="s">
        <v>132</v>
      </c>
      <c r="AE37" s="2209"/>
      <c r="AF37" s="2209"/>
      <c r="AG37" s="2210"/>
      <c r="AH37" s="166"/>
      <c r="AI37" s="166"/>
      <c r="AJ37" s="166"/>
      <c r="AK37" s="166"/>
      <c r="AL37" s="166"/>
      <c r="AM37" s="166"/>
      <c r="AN37" s="159"/>
      <c r="AO37" s="158">
        <f>'R-Resumo Bal. Massa'!F36-'R-Resumo Bal. Massa'!F33</f>
        <v>102.77526374999999</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68.516842499999996</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13">
        <f>'R-Resumo Bal. Massa'!D43</f>
        <v>0</v>
      </c>
      <c r="U41" s="2214"/>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57.097368750000001</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0</v>
      </c>
      <c r="G43" s="166"/>
      <c r="H43" s="166"/>
      <c r="I43" s="166"/>
      <c r="J43" s="2213">
        <f>SUM('R-Resumo Bal. Massa'!D39:D42)</f>
        <v>0</v>
      </c>
      <c r="K43" s="2242"/>
      <c r="L43" s="2242"/>
      <c r="M43" s="2214"/>
      <c r="N43" s="166"/>
      <c r="O43" s="166"/>
      <c r="P43" s="166"/>
      <c r="Q43" s="166"/>
      <c r="R43" s="166"/>
      <c r="S43" s="166"/>
      <c r="T43" s="2213">
        <f>'R-Resumo Bal. Massa'!D44</f>
        <v>0</v>
      </c>
      <c r="U43" s="2214"/>
      <c r="V43" s="166"/>
      <c r="W43" s="166"/>
      <c r="X43" s="166"/>
      <c r="Y43" s="166"/>
      <c r="Z43" s="166"/>
      <c r="AA43" s="166"/>
      <c r="AB43" s="166"/>
      <c r="AC43" s="166"/>
      <c r="AD43" s="166"/>
      <c r="AE43" s="166"/>
      <c r="AF43" s="166"/>
      <c r="AG43" s="733"/>
      <c r="AH43" s="2208" t="s">
        <v>205</v>
      </c>
      <c r="AI43" s="2211"/>
      <c r="AJ43" s="2211"/>
      <c r="AK43" s="2212"/>
      <c r="AL43" s="166"/>
      <c r="AM43" s="166"/>
      <c r="AN43" s="159"/>
      <c r="AO43" s="158">
        <f>'R-Resumo Bal. Massa'!E44</f>
        <v>0</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40">
        <f>'R-Definição'!E126</f>
        <v>161.18773312499999</v>
      </c>
      <c r="J51" s="2241"/>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262.24476374999995</v>
      </c>
      <c r="AP51" s="162"/>
      <c r="AQ51" s="1025">
        <f>AQ29+AQ33+AQ39+AQ45</f>
        <v>114.63261749999999</v>
      </c>
      <c r="AR51" s="162"/>
      <c r="AS51" s="1025">
        <f>'R-Resumo Bal. Massa'!D53</f>
        <v>238.12261875000002</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40" t="str">
        <f>IF('R-Definição'!O124&gt;0,'R-Definição'!O124,"Não")</f>
        <v>Não</v>
      </c>
      <c r="J53" s="2241"/>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18.7</v>
      </c>
      <c r="AR53" s="163"/>
      <c r="AS53" s="1024">
        <f>IF(C11&lt;&gt;0,ROUND(AS51/(AO51+AQ51+AS51)*100,1),0)</f>
        <v>38.700000000000003</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60"/>
      <c r="K4" s="2132"/>
      <c r="L4" s="3"/>
      <c r="M4" s="3"/>
      <c r="N4" s="3"/>
      <c r="O4" s="3"/>
      <c r="P4" s="3"/>
      <c r="Q4" s="3"/>
      <c r="R4" s="3"/>
      <c r="S4" s="3"/>
      <c r="T4" s="3"/>
    </row>
    <row r="5" spans="1:20" ht="25.9" customHeight="1" x14ac:dyDescent="0.25">
      <c r="A5" s="3"/>
      <c r="B5" s="100"/>
      <c r="C5" s="204" t="s">
        <v>543</v>
      </c>
      <c r="D5" s="100"/>
      <c r="E5" s="100"/>
      <c r="F5" s="100"/>
      <c r="G5" s="100"/>
      <c r="H5" s="100"/>
      <c r="I5" s="3"/>
      <c r="J5" s="2262" t="s">
        <v>473</v>
      </c>
      <c r="K5" s="2156"/>
      <c r="L5" s="2156"/>
      <c r="M5" s="3"/>
      <c r="N5" s="3"/>
      <c r="O5" s="3"/>
      <c r="P5" s="3"/>
      <c r="Q5" s="3"/>
      <c r="R5" s="3"/>
      <c r="S5" s="3"/>
      <c r="T5" s="3"/>
    </row>
    <row r="6" spans="1:20" ht="18" customHeight="1" x14ac:dyDescent="0.25">
      <c r="A6" s="3"/>
      <c r="B6" s="64"/>
      <c r="C6" s="64"/>
      <c r="D6" s="64"/>
      <c r="E6" s="64"/>
      <c r="F6" s="64"/>
      <c r="G6" s="64"/>
      <c r="H6" s="64"/>
      <c r="I6" s="3"/>
      <c r="J6" s="2126" t="str">
        <f>Apresentação!I2</f>
        <v>RC-RSU V.1.0 - 15/10/2020</v>
      </c>
      <c r="K6" s="2261"/>
      <c r="L6" s="2261"/>
      <c r="M6" s="3"/>
      <c r="N6" s="3"/>
      <c r="O6" s="3"/>
      <c r="P6" s="3"/>
      <c r="Q6" s="3"/>
      <c r="R6" s="3"/>
      <c r="S6" s="3"/>
      <c r="T6" s="3"/>
    </row>
    <row r="7" spans="1:20" ht="18" customHeight="1" x14ac:dyDescent="0.25">
      <c r="A7" s="3"/>
      <c r="B7" s="2115" t="s">
        <v>544</v>
      </c>
      <c r="C7" s="2152"/>
      <c r="D7" s="2152"/>
      <c r="E7" s="2152"/>
      <c r="F7" s="2152"/>
      <c r="G7" s="2152"/>
      <c r="H7" s="2152"/>
      <c r="I7" s="3"/>
      <c r="J7" s="734"/>
      <c r="K7" s="734"/>
      <c r="L7" s="734"/>
      <c r="M7" s="3"/>
      <c r="N7" s="3"/>
      <c r="O7" s="3"/>
      <c r="P7" s="3"/>
      <c r="Q7" s="3"/>
      <c r="R7" s="3"/>
      <c r="S7" s="3"/>
      <c r="T7" s="3"/>
    </row>
    <row r="8" spans="1:20" ht="18" customHeight="1" x14ac:dyDescent="0.25">
      <c r="A8" s="3"/>
      <c r="B8" s="2123" t="s">
        <v>210</v>
      </c>
      <c r="C8" s="2123" t="s">
        <v>211</v>
      </c>
      <c r="D8" s="2115" t="s">
        <v>212</v>
      </c>
      <c r="E8" s="2123" t="s">
        <v>213</v>
      </c>
      <c r="F8" s="2122"/>
      <c r="G8" s="2122"/>
      <c r="H8" s="2122"/>
      <c r="I8" s="3"/>
      <c r="J8" s="3"/>
      <c r="K8" s="3"/>
      <c r="L8" s="3"/>
      <c r="M8" s="3"/>
      <c r="N8" s="3"/>
      <c r="O8" s="3"/>
      <c r="P8" s="14"/>
      <c r="Q8" s="3"/>
      <c r="R8" s="3"/>
      <c r="S8" s="3"/>
      <c r="T8" s="3"/>
    </row>
    <row r="9" spans="1:20" ht="18" customHeight="1" x14ac:dyDescent="0.25">
      <c r="A9" s="7"/>
      <c r="B9" s="2122"/>
      <c r="C9" s="2122"/>
      <c r="D9" s="2122"/>
      <c r="E9" s="2123" t="s">
        <v>214</v>
      </c>
      <c r="F9" s="2245" t="s">
        <v>25</v>
      </c>
      <c r="G9" s="2115" t="s">
        <v>215</v>
      </c>
      <c r="H9" s="2123" t="s">
        <v>216</v>
      </c>
      <c r="I9" s="7"/>
      <c r="J9" s="7"/>
      <c r="K9" s="7"/>
      <c r="L9" s="7"/>
      <c r="M9" s="7"/>
      <c r="N9" s="7"/>
      <c r="O9" s="7"/>
      <c r="P9" s="3"/>
      <c r="Q9" s="3"/>
      <c r="R9" s="7"/>
      <c r="S9" s="3"/>
      <c r="T9" s="3"/>
    </row>
    <row r="10" spans="1:20" ht="18" customHeight="1" x14ac:dyDescent="0.25">
      <c r="A10" s="7"/>
      <c r="B10" s="2122"/>
      <c r="C10" s="2122"/>
      <c r="D10" s="2122"/>
      <c r="E10" s="2122"/>
      <c r="F10" s="2122"/>
      <c r="G10" s="2122"/>
      <c r="H10" s="2122"/>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615.00000000000011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615.00000000000011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615.00000000000011</v>
      </c>
      <c r="C21" s="510" t="s">
        <v>751</v>
      </c>
      <c r="D21" s="223">
        <f>IF('R-Definição'!$I$24="Sim",'R-Definição'!$I$27,0)</f>
        <v>615.00000000000011</v>
      </c>
      <c r="E21" s="223">
        <f>'R-Definição'!O30</f>
        <v>49.046250000000001</v>
      </c>
      <c r="F21" s="223">
        <f>'R-Definição'!L32</f>
        <v>268.69350000000003</v>
      </c>
      <c r="G21" s="223">
        <f>SUM('R-Definição'!O34:'R-Definição'!O35)</f>
        <v>297.26025000000004</v>
      </c>
      <c r="H21" s="21"/>
      <c r="I21" s="3"/>
      <c r="J21" s="3"/>
      <c r="K21" s="3"/>
      <c r="L21" s="3"/>
      <c r="M21" s="7"/>
      <c r="N21" s="7"/>
      <c r="O21" s="7"/>
      <c r="P21" s="7"/>
      <c r="Q21" s="7"/>
      <c r="R21" s="3"/>
      <c r="S21" s="3"/>
      <c r="T21" s="3"/>
    </row>
    <row r="22" spans="1:20" ht="18" customHeight="1" x14ac:dyDescent="0.25">
      <c r="A22" s="3"/>
      <c r="B22" s="745"/>
      <c r="C22" s="746" t="s">
        <v>218</v>
      </c>
      <c r="D22" s="740">
        <f>SUM(D19:D21)</f>
        <v>615.00000000000011</v>
      </c>
      <c r="E22" s="224">
        <f>SUM(E19:E21)</f>
        <v>49.046250000000001</v>
      </c>
      <c r="F22" s="224">
        <f>SUM(F19:F21)</f>
        <v>268.69350000000003</v>
      </c>
      <c r="G22" s="224">
        <f>SUM(G19:G21)</f>
        <v>297.26025000000004</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63">
        <f>D29</f>
        <v>232.47</v>
      </c>
      <c r="C25" s="233" t="s">
        <v>732</v>
      </c>
      <c r="D25" s="223">
        <f>'R-Definição'!E49</f>
        <v>0</v>
      </c>
      <c r="E25" s="2246">
        <f>'R-Definição'!O49+'R-Definição'!O50</f>
        <v>110.42325</v>
      </c>
      <c r="F25" s="2250"/>
      <c r="G25" s="2246">
        <f>'R-Definição'!O53</f>
        <v>116.235</v>
      </c>
      <c r="H25" s="2246">
        <f>'R-Definição'!O55</f>
        <v>5.81175</v>
      </c>
      <c r="I25" s="3"/>
      <c r="J25" s="3"/>
      <c r="K25" s="3"/>
      <c r="L25" s="3"/>
      <c r="M25" s="3"/>
      <c r="N25" s="3"/>
      <c r="O25" s="3"/>
      <c r="P25" s="3"/>
      <c r="Q25" s="3"/>
      <c r="R25" s="3"/>
      <c r="S25" s="3"/>
      <c r="T25" s="3"/>
    </row>
    <row r="26" spans="1:20" ht="18" customHeight="1" x14ac:dyDescent="0.25">
      <c r="A26" s="3"/>
      <c r="B26" s="2264"/>
      <c r="C26" s="233" t="s">
        <v>733</v>
      </c>
      <c r="D26" s="223">
        <f>'R-Definição'!E50</f>
        <v>0</v>
      </c>
      <c r="E26" s="2247"/>
      <c r="F26" s="2247"/>
      <c r="G26" s="2247"/>
      <c r="H26" s="2247"/>
      <c r="I26" s="3"/>
      <c r="J26" s="3"/>
      <c r="K26" s="3"/>
      <c r="L26" s="3"/>
      <c r="M26" s="3"/>
      <c r="N26" s="3"/>
      <c r="O26" s="3"/>
      <c r="P26" s="3"/>
      <c r="Q26" s="3"/>
      <c r="R26" s="3"/>
      <c r="S26" s="3"/>
      <c r="T26" s="3"/>
    </row>
    <row r="27" spans="1:20" ht="18" customHeight="1" x14ac:dyDescent="0.25">
      <c r="A27" s="3"/>
      <c r="B27" s="2264"/>
      <c r="C27" s="233" t="s">
        <v>545</v>
      </c>
      <c r="D27" s="223">
        <f>'R-Definição'!E51</f>
        <v>232.47</v>
      </c>
      <c r="E27" s="2247"/>
      <c r="F27" s="2247"/>
      <c r="G27" s="2247"/>
      <c r="H27" s="2247"/>
      <c r="I27" s="3"/>
      <c r="J27" s="3"/>
      <c r="K27" s="3"/>
      <c r="L27" s="3"/>
      <c r="M27" s="3"/>
      <c r="N27" s="3"/>
      <c r="O27" s="3"/>
      <c r="P27" s="3"/>
      <c r="Q27" s="3"/>
      <c r="R27" s="3"/>
      <c r="S27" s="3"/>
      <c r="T27" s="3"/>
    </row>
    <row r="28" spans="1:20" ht="18" customHeight="1" x14ac:dyDescent="0.25">
      <c r="A28" s="3"/>
      <c r="B28" s="2264"/>
      <c r="C28" s="233" t="s">
        <v>546</v>
      </c>
      <c r="D28" s="223">
        <f>'R-Definição'!E52</f>
        <v>0</v>
      </c>
      <c r="E28" s="2247"/>
      <c r="F28" s="2247"/>
      <c r="G28" s="2247"/>
      <c r="H28" s="2247"/>
      <c r="I28" s="3"/>
      <c r="J28" s="3"/>
      <c r="K28" s="3"/>
      <c r="L28" s="3"/>
      <c r="M28" s="3"/>
      <c r="N28" s="3"/>
      <c r="O28" s="3"/>
      <c r="P28" s="3"/>
      <c r="Q28" s="3"/>
      <c r="R28" s="3"/>
      <c r="S28" s="3"/>
      <c r="T28" s="3"/>
    </row>
    <row r="29" spans="1:20" ht="18" customHeight="1" x14ac:dyDescent="0.25">
      <c r="A29" s="3"/>
      <c r="B29" s="222"/>
      <c r="C29" s="746" t="s">
        <v>218</v>
      </c>
      <c r="D29" s="740">
        <f>SUM(D25:D28)</f>
        <v>232.47</v>
      </c>
      <c r="E29" s="224">
        <f>E25</f>
        <v>110.42325</v>
      </c>
      <c r="F29" s="224"/>
      <c r="G29" s="224">
        <f>SUM(G25)</f>
        <v>116.235</v>
      </c>
      <c r="H29" s="224">
        <f>SUM(H25:H28)</f>
        <v>5.81175</v>
      </c>
      <c r="I29" s="3"/>
      <c r="J29" s="3"/>
      <c r="K29" s="3"/>
      <c r="L29" s="3"/>
      <c r="M29" s="3"/>
      <c r="N29" s="3"/>
      <c r="O29" s="3"/>
      <c r="P29" s="3"/>
      <c r="Q29" s="3"/>
      <c r="R29" s="3"/>
      <c r="S29" s="3"/>
      <c r="T29" s="3"/>
    </row>
    <row r="30" spans="1:20" ht="18" customHeight="1" x14ac:dyDescent="0.25">
      <c r="A30" s="3"/>
      <c r="B30" s="741">
        <f>'R-Definição'!I51</f>
        <v>232.47</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268.69350000000003</v>
      </c>
      <c r="C34" s="507" t="s">
        <v>221</v>
      </c>
      <c r="D34" s="976">
        <f>IF('R-Definição'!$J$67&lt;&gt;"Uso agrícola dir.",'R-Definição'!$O$62,0)</f>
        <v>268.69350000000003</v>
      </c>
      <c r="E34" s="978"/>
      <c r="F34" s="2249">
        <f>'R-Definição'!O67+'R-Definição'!O68</f>
        <v>102.77526374999999</v>
      </c>
      <c r="G34" s="2246">
        <f>'R-Definição'!O73</f>
        <v>57.097368750000001</v>
      </c>
      <c r="H34" s="2246">
        <f>'R-Definição'!O74</f>
        <v>108.82086749999999</v>
      </c>
      <c r="I34" s="3"/>
      <c r="J34" s="3"/>
      <c r="K34" s="3"/>
      <c r="L34" s="3"/>
      <c r="M34" s="3"/>
      <c r="N34" s="3"/>
      <c r="O34" s="3"/>
      <c r="P34" s="3"/>
      <c r="Q34" s="3"/>
      <c r="R34" s="3"/>
      <c r="S34" s="3"/>
      <c r="T34" s="3"/>
    </row>
    <row r="35" spans="1:20" ht="18" customHeight="1" x14ac:dyDescent="0.25">
      <c r="A35" s="3"/>
      <c r="B35" s="741">
        <f>'R-Definição'!O63+'R-Definição'!O64</f>
        <v>228.389475</v>
      </c>
      <c r="C35" s="507" t="s">
        <v>132</v>
      </c>
      <c r="D35" s="223">
        <f>'R-Definição'!E60-'R-Definição'!O62</f>
        <v>0</v>
      </c>
      <c r="E35" s="975"/>
      <c r="F35" s="2248"/>
      <c r="G35" s="2248"/>
      <c r="H35" s="2248"/>
      <c r="I35" s="3"/>
      <c r="J35" s="3"/>
      <c r="K35" s="3"/>
      <c r="L35" s="3"/>
      <c r="M35" s="3"/>
      <c r="N35" s="3"/>
      <c r="O35" s="3"/>
      <c r="P35" s="3"/>
      <c r="Q35" s="3"/>
      <c r="R35" s="3"/>
      <c r="S35" s="3"/>
      <c r="T35" s="3"/>
    </row>
    <row r="36" spans="1:20" ht="18" customHeight="1" x14ac:dyDescent="0.25">
      <c r="A36" s="3"/>
      <c r="B36" s="211"/>
      <c r="C36" s="747" t="s">
        <v>218</v>
      </c>
      <c r="D36" s="241">
        <f>SUM(D33:D35)</f>
        <v>268.69350000000003</v>
      </c>
      <c r="E36" s="236"/>
      <c r="F36" s="749">
        <f>F34</f>
        <v>102.77526374999999</v>
      </c>
      <c r="G36" s="749">
        <f>G34</f>
        <v>57.097368750000001</v>
      </c>
      <c r="H36" s="749">
        <f>H34</f>
        <v>108.82086749999999</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63">
        <f>'R-Definição'!E112</f>
        <v>0</v>
      </c>
      <c r="C39" s="507" t="s">
        <v>222</v>
      </c>
      <c r="D39" s="223">
        <f>'R-Definição'!E107</f>
        <v>0</v>
      </c>
      <c r="E39" s="2251">
        <f>'R-Definição'!O107+'R-Definição'!O108+'R-Definição'!O109</f>
        <v>0</v>
      </c>
      <c r="F39" s="2250"/>
      <c r="G39" s="2251">
        <f>'R-Definição'!O110</f>
        <v>0</v>
      </c>
      <c r="H39" s="2251">
        <f>'R-Definição'!O113</f>
        <v>0</v>
      </c>
      <c r="I39" s="3"/>
      <c r="J39" s="3"/>
      <c r="K39" s="3"/>
      <c r="L39" s="3"/>
      <c r="M39" s="3"/>
      <c r="N39" s="3"/>
      <c r="O39" s="3"/>
      <c r="P39" s="3"/>
      <c r="Q39" s="3"/>
      <c r="R39" s="3"/>
      <c r="S39" s="3"/>
      <c r="T39" s="3"/>
    </row>
    <row r="40" spans="1:20" ht="18" customHeight="1" x14ac:dyDescent="0.25">
      <c r="A40" s="3"/>
      <c r="B40" s="2202"/>
      <c r="C40" s="507" t="s">
        <v>752</v>
      </c>
      <c r="D40" s="223">
        <f>'R-Definição'!E108</f>
        <v>0</v>
      </c>
      <c r="E40" s="2248"/>
      <c r="F40" s="2248"/>
      <c r="G40" s="2248"/>
      <c r="H40" s="2248"/>
      <c r="I40" s="3"/>
      <c r="J40" s="3"/>
      <c r="K40" s="3"/>
      <c r="L40" s="3"/>
      <c r="M40" s="3"/>
      <c r="N40" s="3"/>
      <c r="O40" s="3"/>
      <c r="P40" s="3"/>
      <c r="Q40" s="3"/>
      <c r="R40" s="3"/>
      <c r="S40" s="3"/>
      <c r="T40" s="3"/>
    </row>
    <row r="41" spans="1:20" ht="18" customHeight="1" x14ac:dyDescent="0.25">
      <c r="A41" s="3"/>
      <c r="B41" s="2202"/>
      <c r="C41" s="507" t="s">
        <v>734</v>
      </c>
      <c r="D41" s="223">
        <f>'R-Definição'!E109</f>
        <v>0</v>
      </c>
      <c r="E41" s="2248"/>
      <c r="F41" s="2248"/>
      <c r="G41" s="2248"/>
      <c r="H41" s="2248"/>
      <c r="I41" s="3"/>
      <c r="J41" s="3"/>
      <c r="K41" s="3"/>
      <c r="L41" s="3"/>
      <c r="M41" s="3"/>
      <c r="N41" s="3"/>
      <c r="O41" s="3"/>
      <c r="P41" s="3"/>
      <c r="Q41" s="3"/>
      <c r="R41" s="3"/>
      <c r="S41" s="3"/>
      <c r="T41" s="3"/>
    </row>
    <row r="42" spans="1:20" ht="18" customHeight="1" x14ac:dyDescent="0.25">
      <c r="A42" s="3"/>
      <c r="B42" s="2202"/>
      <c r="C42" s="237" t="s">
        <v>819</v>
      </c>
      <c r="D42" s="223">
        <f>'R-Definição'!E110</f>
        <v>0</v>
      </c>
      <c r="E42" s="2248"/>
      <c r="F42" s="2248"/>
      <c r="G42" s="2248"/>
      <c r="H42" s="2248"/>
      <c r="I42" s="3"/>
      <c r="J42" s="3"/>
      <c r="K42" s="3"/>
      <c r="L42" s="3"/>
      <c r="M42" s="3"/>
      <c r="N42" s="3"/>
      <c r="O42" s="3"/>
      <c r="P42" s="3"/>
      <c r="Q42" s="3"/>
      <c r="R42" s="3"/>
      <c r="S42" s="3"/>
      <c r="T42" s="3"/>
    </row>
    <row r="43" spans="1:20" ht="18" customHeight="1" x14ac:dyDescent="0.25">
      <c r="A43" s="3"/>
      <c r="C43" s="1708" t="s">
        <v>990</v>
      </c>
      <c r="D43" s="1707">
        <f>'R-Definição'!E111</f>
        <v>0</v>
      </c>
      <c r="I43" s="3"/>
      <c r="J43" s="3"/>
      <c r="K43" s="3"/>
      <c r="L43" s="3"/>
      <c r="M43" s="3"/>
      <c r="N43" s="3"/>
      <c r="O43" s="3"/>
      <c r="P43" s="3"/>
      <c r="Q43" s="3"/>
      <c r="R43" s="3"/>
      <c r="S43" s="3"/>
      <c r="T43" s="3"/>
    </row>
    <row r="44" spans="1:20" ht="18" customHeight="1" x14ac:dyDescent="0.25">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57">
        <f>'R-Definição'!E119</f>
        <v>238.12261875000002</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58"/>
      <c r="C48" s="1706" t="s">
        <v>547</v>
      </c>
      <c r="D48" s="1707">
        <f>'R-Definição'!N96</f>
        <v>64.790250000000015</v>
      </c>
      <c r="E48" s="6"/>
      <c r="F48" s="739"/>
      <c r="G48" s="221" t="s">
        <v>225</v>
      </c>
      <c r="H48" s="221" t="s">
        <v>22</v>
      </c>
      <c r="I48" s="3"/>
      <c r="J48" s="3"/>
      <c r="K48" s="3"/>
      <c r="L48" s="3"/>
      <c r="M48" s="3"/>
      <c r="N48" s="3"/>
      <c r="O48" s="3"/>
      <c r="P48" s="3"/>
      <c r="Q48" s="3"/>
      <c r="R48" s="3"/>
      <c r="S48" s="3"/>
      <c r="T48" s="3"/>
    </row>
    <row r="49" spans="1:20" ht="18" customHeight="1" x14ac:dyDescent="0.25">
      <c r="A49" s="3"/>
      <c r="B49" s="2258"/>
      <c r="C49" s="1706" t="s">
        <v>548</v>
      </c>
      <c r="D49" s="1707">
        <f>'R-Definição'!N98+'R-Definição'!N99+'R-Definição'!N97</f>
        <v>0</v>
      </c>
      <c r="E49" s="5"/>
      <c r="F49" s="233" t="s">
        <v>226</v>
      </c>
      <c r="G49" s="223">
        <f>D53</f>
        <v>238.12261875000002</v>
      </c>
      <c r="H49" s="878">
        <f>IF($G$52&lt;&gt;0,G49/$G$52*100,0)</f>
        <v>38.719125000000005</v>
      </c>
      <c r="I49" s="20"/>
      <c r="J49" s="3"/>
      <c r="K49" s="3"/>
      <c r="L49" s="3"/>
      <c r="M49" s="3"/>
      <c r="N49" s="3"/>
      <c r="O49" s="3"/>
      <c r="P49" s="3"/>
      <c r="Q49" s="3"/>
      <c r="R49" s="3"/>
      <c r="S49" s="3"/>
      <c r="T49" s="3"/>
    </row>
    <row r="50" spans="1:20" ht="18" customHeight="1" x14ac:dyDescent="0.25">
      <c r="A50" s="3"/>
      <c r="B50" s="2258"/>
      <c r="C50" s="1706" t="s">
        <v>549</v>
      </c>
      <c r="D50" s="1707">
        <f>'R-Definição'!O53</f>
        <v>116.235</v>
      </c>
      <c r="E50" s="5"/>
      <c r="F50" s="233" t="s">
        <v>552</v>
      </c>
      <c r="G50" s="878">
        <f>E44+F36+E29+E22</f>
        <v>262.24476375</v>
      </c>
      <c r="H50" s="878">
        <f>IF($G$52&lt;&gt;0,G50/$G$52*100,0)</f>
        <v>42.641424999999998</v>
      </c>
      <c r="I50" s="22"/>
      <c r="J50" s="3"/>
      <c r="K50" s="3"/>
      <c r="L50" s="3"/>
      <c r="M50" s="3"/>
      <c r="N50" s="3"/>
      <c r="O50" s="3"/>
      <c r="P50" s="3"/>
      <c r="Q50" s="3"/>
      <c r="R50" s="3"/>
      <c r="S50" s="3"/>
      <c r="T50" s="3"/>
    </row>
    <row r="51" spans="1:20" ht="18" customHeight="1" x14ac:dyDescent="0.25">
      <c r="A51" s="3"/>
      <c r="B51" s="2258"/>
      <c r="C51" s="1706" t="s">
        <v>550</v>
      </c>
      <c r="D51" s="1707">
        <f>'R-Definição'!O73</f>
        <v>57.097368750000001</v>
      </c>
      <c r="E51" s="3"/>
      <c r="F51" s="233" t="s">
        <v>227</v>
      </c>
      <c r="G51" s="878">
        <f>H29+H36+H44</f>
        <v>114.63261749999999</v>
      </c>
      <c r="H51" s="878">
        <f>IF($G$52&lt;&gt;0,G51/$G$52*100,0)</f>
        <v>18.63945</v>
      </c>
      <c r="I51" s="3"/>
      <c r="J51" s="3"/>
      <c r="K51" s="3"/>
      <c r="L51" s="3"/>
      <c r="M51" s="3"/>
      <c r="N51" s="3"/>
      <c r="O51" s="3"/>
      <c r="P51" s="3"/>
      <c r="Q51" s="3"/>
      <c r="R51" s="3"/>
      <c r="S51" s="3"/>
      <c r="T51" s="3"/>
    </row>
    <row r="52" spans="1:20" ht="18" customHeight="1" x14ac:dyDescent="0.25">
      <c r="A52" s="3"/>
      <c r="B52" s="2259"/>
      <c r="C52" s="1706" t="s">
        <v>551</v>
      </c>
      <c r="D52" s="1707">
        <f>'R-Definição'!O110</f>
        <v>0</v>
      </c>
      <c r="E52" s="3"/>
      <c r="F52" s="752" t="s">
        <v>53</v>
      </c>
      <c r="G52" s="224">
        <f>SUM(G49:G51)</f>
        <v>615</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238.12261875000002</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15" t="s">
        <v>151</v>
      </c>
      <c r="C55" s="2152"/>
      <c r="D55" s="2115" t="s">
        <v>229</v>
      </c>
      <c r="E55" s="2182"/>
      <c r="F55" s="2182"/>
      <c r="G55" s="2182"/>
      <c r="H55" s="2182"/>
      <c r="I55" s="2182"/>
      <c r="J55" s="2182"/>
      <c r="K55" s="2182"/>
      <c r="L55" s="3"/>
      <c r="M55" s="3"/>
      <c r="N55" s="3"/>
      <c r="O55" s="3"/>
      <c r="P55" s="3"/>
      <c r="Q55" s="3"/>
      <c r="R55" s="3"/>
      <c r="S55" s="3"/>
      <c r="T55" s="3"/>
    </row>
    <row r="56" spans="1:20" ht="18" customHeight="1" x14ac:dyDescent="0.25">
      <c r="A56" s="3"/>
      <c r="B56" s="2152"/>
      <c r="C56" s="2152"/>
      <c r="D56" s="2256" t="s">
        <v>53</v>
      </c>
      <c r="E56" s="2256" t="s">
        <v>185</v>
      </c>
      <c r="F56" s="2253"/>
      <c r="G56" s="2253"/>
      <c r="H56" s="2252" t="s">
        <v>62</v>
      </c>
      <c r="I56" s="2252" t="s">
        <v>188</v>
      </c>
      <c r="J56" s="2252" t="s">
        <v>64</v>
      </c>
      <c r="K56" s="2252" t="s">
        <v>65</v>
      </c>
      <c r="L56" s="3"/>
      <c r="M56" s="3"/>
      <c r="N56" s="3"/>
      <c r="O56" s="3"/>
      <c r="P56" s="3"/>
      <c r="Q56" s="3"/>
      <c r="R56" s="3"/>
      <c r="S56" s="3"/>
      <c r="T56" s="3"/>
    </row>
    <row r="57" spans="1:20" ht="18" customHeight="1" x14ac:dyDescent="0.25">
      <c r="A57" s="3"/>
      <c r="B57" s="2255" t="s">
        <v>28</v>
      </c>
      <c r="C57" s="515" t="s">
        <v>21</v>
      </c>
      <c r="D57" s="2253"/>
      <c r="E57" s="515" t="s">
        <v>80</v>
      </c>
      <c r="F57" s="515" t="s">
        <v>87</v>
      </c>
      <c r="G57" s="515" t="s">
        <v>73</v>
      </c>
      <c r="H57" s="2253"/>
      <c r="I57" s="2253"/>
      <c r="J57" s="2253"/>
      <c r="K57" s="2253"/>
      <c r="L57" s="3"/>
      <c r="M57" s="3"/>
      <c r="N57" s="3"/>
      <c r="O57" s="3"/>
      <c r="P57" s="3"/>
      <c r="Q57" s="3"/>
      <c r="R57" s="3"/>
      <c r="S57" s="3"/>
      <c r="T57" s="3"/>
    </row>
    <row r="58" spans="1:20" ht="18" customHeight="1" x14ac:dyDescent="0.25">
      <c r="A58" s="3"/>
      <c r="B58" s="2255"/>
      <c r="C58" s="233" t="s">
        <v>74</v>
      </c>
      <c r="D58" s="223">
        <f t="shared" ref="D58:D64" si="0">SUM(E58:K58)</f>
        <v>20.141249999999999</v>
      </c>
      <c r="E58" s="223">
        <f>'R-Definição'!M24</f>
        <v>0</v>
      </c>
      <c r="F58" s="223">
        <f>'R-Definição'!N24</f>
        <v>0</v>
      </c>
      <c r="G58" s="223">
        <f>'R-Definição'!O24</f>
        <v>20.141249999999999</v>
      </c>
      <c r="H58" s="878"/>
      <c r="I58" s="877"/>
      <c r="J58" s="877"/>
      <c r="K58" s="877"/>
      <c r="L58" s="3"/>
      <c r="M58" s="3"/>
      <c r="N58" s="3"/>
      <c r="O58" s="3"/>
      <c r="P58" s="3"/>
      <c r="Q58" s="3"/>
      <c r="R58" s="3"/>
      <c r="S58" s="3"/>
      <c r="T58" s="3"/>
    </row>
    <row r="59" spans="1:20" ht="18" customHeight="1" x14ac:dyDescent="0.25">
      <c r="A59" s="3"/>
      <c r="B59" s="2255"/>
      <c r="C59" s="233" t="s">
        <v>29</v>
      </c>
      <c r="D59" s="223">
        <f t="shared" si="0"/>
        <v>13.68375</v>
      </c>
      <c r="E59" s="223">
        <f>'R-Definição'!M25</f>
        <v>0</v>
      </c>
      <c r="F59" s="223">
        <f>'R-Definição'!N25</f>
        <v>0</v>
      </c>
      <c r="G59" s="223">
        <f>'R-Definição'!O25</f>
        <v>13.68375</v>
      </c>
      <c r="H59" s="879"/>
      <c r="I59" s="880"/>
      <c r="J59" s="880"/>
      <c r="K59" s="880"/>
      <c r="L59" s="3"/>
      <c r="M59" s="3"/>
      <c r="N59" s="3"/>
      <c r="O59" s="3"/>
      <c r="P59" s="3"/>
      <c r="Q59" s="3"/>
      <c r="R59" s="3"/>
      <c r="S59" s="3"/>
      <c r="T59" s="3"/>
    </row>
    <row r="60" spans="1:20" ht="18" customHeight="1" x14ac:dyDescent="0.25">
      <c r="A60" s="3"/>
      <c r="B60" s="2255"/>
      <c r="C60" s="233" t="s">
        <v>78</v>
      </c>
      <c r="D60" s="223">
        <f t="shared" si="0"/>
        <v>7.0724999999999998</v>
      </c>
      <c r="E60" s="223">
        <f>'R-Definição'!M26</f>
        <v>0</v>
      </c>
      <c r="F60" s="223">
        <f>'R-Definição'!N26</f>
        <v>0</v>
      </c>
      <c r="G60" s="223">
        <f>'R-Definição'!O26</f>
        <v>7.0724999999999998</v>
      </c>
      <c r="H60" s="878"/>
      <c r="I60" s="877"/>
      <c r="J60" s="877"/>
      <c r="K60" s="877"/>
      <c r="L60" s="3"/>
      <c r="M60" s="3"/>
      <c r="N60" s="3"/>
      <c r="O60" s="3"/>
      <c r="P60" s="3"/>
      <c r="Q60" s="3"/>
      <c r="R60" s="3"/>
      <c r="S60" s="3"/>
      <c r="T60" s="3"/>
    </row>
    <row r="61" spans="1:20" ht="18" customHeight="1" x14ac:dyDescent="0.25">
      <c r="A61" s="3"/>
      <c r="B61" s="2255"/>
      <c r="C61" s="233" t="s">
        <v>31</v>
      </c>
      <c r="D61" s="223">
        <f t="shared" si="0"/>
        <v>3.69</v>
      </c>
      <c r="E61" s="223">
        <f>'R-Definição'!M27</f>
        <v>0</v>
      </c>
      <c r="F61" s="223">
        <f>'R-Definição'!N27</f>
        <v>0</v>
      </c>
      <c r="G61" s="223">
        <f>'R-Definição'!O27</f>
        <v>3.69</v>
      </c>
      <c r="H61" s="878"/>
      <c r="I61" s="877"/>
      <c r="J61" s="877"/>
      <c r="K61" s="877"/>
      <c r="L61" s="3"/>
      <c r="M61" s="3"/>
      <c r="N61" s="3"/>
      <c r="O61" s="3"/>
      <c r="P61" s="3"/>
      <c r="Q61" s="3"/>
      <c r="R61" s="3"/>
      <c r="S61" s="3"/>
      <c r="T61" s="3"/>
    </row>
    <row r="62" spans="1:20" ht="18" customHeight="1" x14ac:dyDescent="0.25">
      <c r="A62" s="3"/>
      <c r="B62" s="2255"/>
      <c r="C62" s="233" t="s">
        <v>32</v>
      </c>
      <c r="D62" s="223">
        <f t="shared" si="0"/>
        <v>3.5362499999999999</v>
      </c>
      <c r="E62" s="223">
        <f>'R-Definição'!M28</f>
        <v>0</v>
      </c>
      <c r="F62" s="223">
        <f>'R-Definição'!N28</f>
        <v>0</v>
      </c>
      <c r="G62" s="223">
        <f>'R-Definição'!O28</f>
        <v>3.5362499999999999</v>
      </c>
      <c r="H62" s="878"/>
      <c r="I62" s="877"/>
      <c r="J62" s="878">
        <f>'R-Definição'!O107</f>
        <v>0</v>
      </c>
      <c r="K62" s="877"/>
      <c r="L62" s="3"/>
      <c r="M62" s="3"/>
      <c r="N62" s="3"/>
      <c r="O62" s="3"/>
      <c r="P62" s="3"/>
      <c r="Q62" s="3"/>
      <c r="R62" s="3"/>
      <c r="S62" s="3"/>
      <c r="T62" s="3"/>
    </row>
    <row r="63" spans="1:20" ht="18" customHeight="1" x14ac:dyDescent="0.25">
      <c r="A63" s="3"/>
      <c r="B63" s="2255"/>
      <c r="C63" s="233" t="s">
        <v>84</v>
      </c>
      <c r="D63" s="223">
        <f t="shared" si="0"/>
        <v>0.92249999999999999</v>
      </c>
      <c r="E63" s="223">
        <f>'R-Definição'!M29</f>
        <v>0</v>
      </c>
      <c r="F63" s="223">
        <f>'R-Definição'!N29</f>
        <v>0</v>
      </c>
      <c r="G63" s="223">
        <f>'R-Definição'!O29</f>
        <v>0.92249999999999999</v>
      </c>
      <c r="H63" s="878"/>
      <c r="I63" s="877"/>
      <c r="J63" s="878">
        <f>'R-Definição'!O108</f>
        <v>0</v>
      </c>
      <c r="K63" s="877"/>
      <c r="L63" s="3"/>
      <c r="M63" s="3"/>
      <c r="N63" s="3"/>
      <c r="O63" s="3"/>
      <c r="P63" s="3"/>
      <c r="Q63" s="3"/>
      <c r="R63" s="3"/>
      <c r="S63" s="3"/>
      <c r="T63" s="3"/>
    </row>
    <row r="64" spans="1:20" ht="18" customHeight="1" x14ac:dyDescent="0.25">
      <c r="A64" s="3"/>
      <c r="B64" s="2255"/>
      <c r="C64" s="753" t="s">
        <v>513</v>
      </c>
      <c r="D64" s="241">
        <f t="shared" si="0"/>
        <v>49.046250000000001</v>
      </c>
      <c r="E64" s="242">
        <f>SUM(E58:E63)</f>
        <v>0</v>
      </c>
      <c r="F64" s="242">
        <f>SUM(F58:F63)</f>
        <v>0</v>
      </c>
      <c r="G64" s="242">
        <f>SUM(G58:G63)</f>
        <v>49.046250000000001</v>
      </c>
      <c r="H64" s="235"/>
      <c r="I64" s="517"/>
      <c r="J64" s="243">
        <f>SUM(J58:J63)</f>
        <v>0</v>
      </c>
      <c r="K64" s="517"/>
      <c r="L64" s="3"/>
      <c r="M64" s="3"/>
      <c r="N64" s="3"/>
      <c r="O64" s="3"/>
      <c r="P64" s="3"/>
      <c r="Q64" s="3"/>
      <c r="R64" s="3"/>
      <c r="S64" s="3"/>
      <c r="T64" s="3"/>
    </row>
    <row r="65" spans="1:20" ht="18" customHeight="1" x14ac:dyDescent="0.25">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4"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5"/>
      <c r="C67" s="233" t="s">
        <v>233</v>
      </c>
      <c r="D67" s="223">
        <f>SUM(E67:K67)</f>
        <v>102.77526374999999</v>
      </c>
      <c r="E67" s="877"/>
      <c r="F67" s="877"/>
      <c r="G67" s="877"/>
      <c r="H67" s="878"/>
      <c r="I67" s="878">
        <f>IF('R-Definição'!I72&lt;&gt;"Cobertura de aterro sanitário",'R-Definição'!O68,0)</f>
        <v>102.77526374999999</v>
      </c>
      <c r="J67" s="877"/>
      <c r="K67" s="877"/>
      <c r="L67" s="3"/>
      <c r="M67" s="3"/>
      <c r="N67" s="3"/>
      <c r="O67" s="3"/>
      <c r="P67" s="3"/>
      <c r="Q67" s="3"/>
      <c r="R67" s="3"/>
      <c r="S67" s="3"/>
      <c r="T67" s="3"/>
    </row>
    <row r="68" spans="1:20" ht="18" customHeight="1" x14ac:dyDescent="0.25">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5"/>
      <c r="C69" s="753" t="s">
        <v>554</v>
      </c>
      <c r="D69" s="241">
        <f>SUM(D66:D67)</f>
        <v>102.77526374999999</v>
      </c>
      <c r="E69" s="515"/>
      <c r="F69" s="515"/>
      <c r="G69" s="515"/>
      <c r="H69" s="235"/>
      <c r="I69" s="235">
        <f>SUM(I66:I68)</f>
        <v>102.77526374999999</v>
      </c>
      <c r="J69" s="517"/>
      <c r="K69" s="517"/>
      <c r="L69" s="3"/>
      <c r="M69" s="3"/>
      <c r="N69" s="3"/>
      <c r="O69" s="3"/>
      <c r="P69" s="3"/>
      <c r="Q69" s="3"/>
      <c r="R69" s="3"/>
      <c r="S69" s="3"/>
      <c r="T69" s="3"/>
    </row>
    <row r="70" spans="1:20" ht="18" customHeight="1" x14ac:dyDescent="0.25">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5"/>
      <c r="C72" s="233" t="s">
        <v>235</v>
      </c>
      <c r="D72" s="223">
        <f>SUM(E72:K72)</f>
        <v>110.42325</v>
      </c>
      <c r="E72" s="877"/>
      <c r="F72" s="877"/>
      <c r="G72" s="877"/>
      <c r="H72" s="878">
        <f>'R-Definição'!O50</f>
        <v>110.42325</v>
      </c>
      <c r="I72" s="877"/>
      <c r="J72" s="877"/>
      <c r="K72" s="877"/>
      <c r="L72" s="3"/>
      <c r="M72" s="3"/>
      <c r="N72" s="3"/>
      <c r="O72" s="3"/>
      <c r="P72" s="3"/>
      <c r="Q72" s="3"/>
      <c r="R72" s="3"/>
      <c r="S72" s="3"/>
      <c r="T72" s="3"/>
    </row>
    <row r="73" spans="1:20" ht="18" customHeight="1" x14ac:dyDescent="0.25">
      <c r="A73" s="3"/>
      <c r="B73" s="2255"/>
      <c r="C73" s="515" t="s">
        <v>555</v>
      </c>
      <c r="D73" s="241">
        <f>SUM(D71:D72)</f>
        <v>110.42325</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33707.599575000007</v>
      </c>
      <c r="E74" s="873"/>
      <c r="F74" s="873"/>
      <c r="G74" s="873"/>
      <c r="H74" s="874"/>
      <c r="I74" s="873">
        <f>'R-Definição'!O69</f>
        <v>33707.599575000007</v>
      </c>
      <c r="J74" s="873">
        <f>'R-Definição'!O111</f>
        <v>0</v>
      </c>
      <c r="K74" s="873">
        <f>'R-Definição'!J127</f>
        <v>0</v>
      </c>
      <c r="L74" s="3"/>
      <c r="M74" s="3"/>
      <c r="N74" s="3"/>
      <c r="O74" s="3"/>
      <c r="P74" s="3"/>
      <c r="Q74" s="3"/>
      <c r="R74" s="3"/>
      <c r="S74" s="3"/>
      <c r="T74" s="3"/>
    </row>
    <row r="75" spans="1:20" ht="18" customHeight="1" x14ac:dyDescent="0.25">
      <c r="A75" s="3"/>
      <c r="B75" s="233" t="s">
        <v>238</v>
      </c>
      <c r="C75" s="233" t="s">
        <v>753</v>
      </c>
      <c r="D75" s="873">
        <f>SUM(E75:K75)</f>
        <v>8426.8998937500019</v>
      </c>
      <c r="E75" s="873"/>
      <c r="F75" s="873"/>
      <c r="G75" s="873"/>
      <c r="H75" s="874"/>
      <c r="I75" s="873">
        <f>'R-Definição'!O70</f>
        <v>8426.8998937500019</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6" t="str">
        <f>IF('R-Entrada'!D2&lt;&gt;0,'R-Entrada'!D2,"")</f>
        <v>CIRSOP - Consórcio RSU Oeste Paulista</v>
      </c>
      <c r="E2" s="2198"/>
      <c r="F2" s="2198"/>
      <c r="G2" s="2198"/>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6" t="str">
        <f>IF('R-Entrada'!D3&lt;&gt;0,'R-Entrada'!D3,"")</f>
        <v>Biodigestão c/ Prod. E. Elétrica</v>
      </c>
      <c r="E3" s="2159"/>
      <c r="F3" s="2159"/>
      <c r="G3" s="2159"/>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7" t="s">
        <v>473</v>
      </c>
      <c r="R5" s="2200"/>
      <c r="S5" s="2200"/>
      <c r="T5" s="2200"/>
      <c r="U5" s="2200"/>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6" t="str">
        <f>Apresentação!I2</f>
        <v>RC-RSU V.1.0 - 15/10/2020</v>
      </c>
      <c r="R6" s="2126"/>
      <c r="S6" s="2126"/>
      <c r="T6" s="2200"/>
      <c r="U6" s="2200"/>
      <c r="V6" s="476"/>
      <c r="W6" s="476"/>
      <c r="X6" s="476"/>
      <c r="Y6" s="2268"/>
      <c r="Z6" s="2269"/>
      <c r="AA6" s="2269"/>
      <c r="AB6" s="2269"/>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9"/>
      <c r="Z7" s="2269"/>
      <c r="AA7" s="2269"/>
      <c r="AB7" s="2269"/>
      <c r="AC7" s="476"/>
      <c r="AD7" s="476"/>
      <c r="AE7" s="476"/>
      <c r="AF7" s="476"/>
      <c r="AG7" s="476"/>
      <c r="AH7" s="476"/>
    </row>
    <row r="8" spans="1:34" ht="18" customHeight="1" x14ac:dyDescent="0.25">
      <c r="A8" s="251"/>
      <c r="B8" s="2270" t="s">
        <v>777</v>
      </c>
      <c r="C8" s="2271"/>
      <c r="D8" s="2271"/>
      <c r="E8" s="2271"/>
      <c r="F8" s="834"/>
      <c r="G8" s="834"/>
      <c r="H8" s="834"/>
      <c r="I8" s="834"/>
      <c r="J8" s="835"/>
      <c r="K8" s="438"/>
      <c r="L8" s="195" t="s">
        <v>932</v>
      </c>
      <c r="M8" s="454"/>
      <c r="N8" s="454"/>
      <c r="O8" s="454"/>
      <c r="P8" s="454"/>
      <c r="Q8" s="454"/>
      <c r="R8" s="454"/>
      <c r="S8" s="455"/>
      <c r="T8" s="498"/>
      <c r="U8" s="245"/>
      <c r="V8" s="476"/>
      <c r="W8" s="476"/>
      <c r="X8" s="476"/>
      <c r="Y8" s="2269"/>
      <c r="Z8" s="2269"/>
      <c r="AA8" s="2269"/>
      <c r="AB8" s="2269"/>
      <c r="AC8" s="476"/>
      <c r="AD8" s="476"/>
      <c r="AE8" s="476"/>
      <c r="AF8" s="476"/>
      <c r="AG8" s="476"/>
      <c r="AH8" s="476"/>
    </row>
    <row r="9" spans="1:34" ht="18" customHeight="1" x14ac:dyDescent="0.25">
      <c r="A9" s="245"/>
      <c r="B9" s="439"/>
      <c r="C9" s="802" t="s">
        <v>240</v>
      </c>
      <c r="D9" s="803" t="s">
        <v>799</v>
      </c>
      <c r="E9" s="815"/>
      <c r="F9" s="833"/>
      <c r="G9" s="639"/>
      <c r="H9" s="652"/>
      <c r="I9" s="1027">
        <f>'R-Entrada'!E14*313</f>
        <v>192495</v>
      </c>
      <c r="J9" s="255" t="s">
        <v>241</v>
      </c>
      <c r="K9" s="440"/>
      <c r="L9" s="814"/>
      <c r="M9" s="456" t="s">
        <v>242</v>
      </c>
      <c r="N9" s="456"/>
      <c r="O9" s="456"/>
      <c r="P9" s="456"/>
      <c r="Q9" s="456"/>
      <c r="R9" s="456"/>
      <c r="S9" s="457"/>
      <c r="T9" s="836"/>
      <c r="U9" s="245"/>
      <c r="V9" s="476"/>
      <c r="W9" s="476"/>
      <c r="X9" s="476"/>
      <c r="Y9" s="2269"/>
      <c r="Z9" s="2269"/>
      <c r="AA9" s="2269"/>
      <c r="AB9" s="2269"/>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20.141249999999999</v>
      </c>
      <c r="T10" s="850" t="s">
        <v>21</v>
      </c>
      <c r="U10" s="754"/>
      <c r="V10" s="476"/>
      <c r="W10" s="476"/>
      <c r="X10" s="476"/>
      <c r="Y10" s="2269"/>
      <c r="Z10" s="2269"/>
      <c r="AA10" s="2269"/>
      <c r="AB10" s="2269"/>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20.756250000000001</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3.69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3.5362499999999999</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0.92249999999999999</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5" t="s">
        <v>800</v>
      </c>
      <c r="AC16" s="2164"/>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v>
      </c>
      <c r="R17" s="807" t="s">
        <v>195</v>
      </c>
      <c r="S17" s="839">
        <f>Y18-(SUM(Z18:AC18))</f>
        <v>253.01100000000002</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15.682499999999999</v>
      </c>
      <c r="T18" s="852" t="s">
        <v>21</v>
      </c>
      <c r="U18" s="754"/>
      <c r="V18" s="476"/>
      <c r="W18" s="507" t="s">
        <v>247</v>
      </c>
      <c r="X18" s="786"/>
      <c r="Y18" s="254">
        <f>'R-Definição'!$D$14+'R-Definição'!$O$32</f>
        <v>253.01100000000002</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15.682499999999999</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21.795800144822593</v>
      </c>
      <c r="J33" s="255" t="s">
        <v>195</v>
      </c>
      <c r="K33" s="254">
        <f>IF(OR(AND('R-Definição'!E122="Rota atual",'R-Definição'!E123="Aterro sanitário"),'R-Definição'!E122="Rota Futura"),'R-Definição'!N95+'R-Definição'!N96+'R-Definição'!N97+'R-Definição'!N98+'R-Definição'!N99,0)</f>
        <v>64.790250000000015</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78.204199855177393</v>
      </c>
      <c r="J36" s="255" t="s">
        <v>195</v>
      </c>
      <c r="K36" s="254">
        <f>IF(K37&lt;&gt;0,0,'R-Definição'!I51)</f>
        <v>232.47</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99.999999999999986</v>
      </c>
      <c r="J40" s="515" t="s">
        <v>195</v>
      </c>
      <c r="K40" s="241">
        <f>SUM(K29:K39)</f>
        <v>297.26025000000004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abSelected="1" topLeftCell="A2" zoomScale="70" zoomScaleNormal="70" workbookViewId="0">
      <selection activeCell="D31" sqref="D31"/>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4" t="s">
        <v>473</v>
      </c>
      <c r="D2" s="2132"/>
      <c r="E2" s="862"/>
      <c r="F2" s="1574" t="s">
        <v>485</v>
      </c>
      <c r="G2" s="2275" t="str">
        <f>IF('R-Definição'!D2&lt;&gt;0,'R-Definição'!D2,"")</f>
        <v>CIRSOP - Consórcio RSU Oeste Paulista</v>
      </c>
      <c r="H2" s="2276"/>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83" t="str">
        <f>Apresentação!I2</f>
        <v>RC-RSU V.1.0 - 15/10/2020</v>
      </c>
      <c r="D3" s="2283"/>
      <c r="E3" s="862"/>
      <c r="F3" s="1575" t="s">
        <v>486</v>
      </c>
      <c r="G3" s="2277" t="str">
        <f>IF('R-Definição'!D3&lt;&gt;0,'R-Definição'!D3,"")</f>
        <v>Biodigestão c/ Prod. E. Elétrica</v>
      </c>
      <c r="H3" s="2278"/>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615</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481.70440575329502</v>
      </c>
      <c r="V7" s="992">
        <f>L59</f>
        <v>189.85798146143534</v>
      </c>
      <c r="W7" s="992">
        <f>L62</f>
        <v>0</v>
      </c>
      <c r="X7" s="992">
        <f>L65</f>
        <v>493.54797314896615</v>
      </c>
      <c r="Y7" s="992">
        <f>L68</f>
        <v>112.42272323610344</v>
      </c>
      <c r="Z7" s="992">
        <f>L71</f>
        <v>0</v>
      </c>
      <c r="AA7" s="992">
        <f>L74</f>
        <v>112.929515614591</v>
      </c>
      <c r="AB7" s="1622"/>
    </row>
    <row r="8" spans="1:28" s="2017" customFormat="1" ht="17.649999999999999" customHeight="1" x14ac:dyDescent="0.25">
      <c r="A8" s="1735"/>
      <c r="B8" s="2063" t="s">
        <v>297</v>
      </c>
      <c r="C8" s="2018" t="s">
        <v>298</v>
      </c>
      <c r="D8" s="2019">
        <f>D40</f>
        <v>191880</v>
      </c>
      <c r="E8" s="1735"/>
      <c r="F8" s="2063" t="s">
        <v>562</v>
      </c>
      <c r="G8" s="2018" t="s">
        <v>292</v>
      </c>
      <c r="H8" s="2015">
        <f>O78</f>
        <v>34.098535290019989</v>
      </c>
      <c r="I8" s="1735"/>
      <c r="J8" s="1735"/>
      <c r="K8" s="2016"/>
      <c r="L8" s="1735"/>
      <c r="M8" s="1735"/>
      <c r="N8" s="1735"/>
      <c r="O8" s="1735"/>
      <c r="P8" s="1735"/>
      <c r="Q8" s="1735"/>
      <c r="R8" s="991" t="s">
        <v>300</v>
      </c>
      <c r="S8" s="1623">
        <v>0</v>
      </c>
      <c r="T8" s="993">
        <f>L52</f>
        <v>0</v>
      </c>
      <c r="U8" s="993">
        <f>L55</f>
        <v>480.16541404162308</v>
      </c>
      <c r="V8" s="993">
        <f>L58</f>
        <v>500.66509640421106</v>
      </c>
      <c r="W8" s="993">
        <f>L61</f>
        <v>0</v>
      </c>
      <c r="X8" s="993">
        <f>L64</f>
        <v>1126.0497655386259</v>
      </c>
      <c r="Y8" s="993">
        <f>L67</f>
        <v>301.7611923756819</v>
      </c>
      <c r="Z8" s="993">
        <f>L70</f>
        <v>0</v>
      </c>
      <c r="AA8" s="993">
        <f>L73</f>
        <v>239.86256565923992</v>
      </c>
      <c r="AB8" s="1622"/>
    </row>
    <row r="9" spans="1:28" s="2017" customFormat="1" ht="17.649999999999999" customHeight="1" x14ac:dyDescent="0.25">
      <c r="A9" s="1735"/>
      <c r="B9" s="2064" t="s">
        <v>558</v>
      </c>
      <c r="C9" s="2020" t="s">
        <v>298</v>
      </c>
      <c r="D9" s="2022">
        <f>D44</f>
        <v>74294.25705</v>
      </c>
      <c r="E9" s="1735"/>
      <c r="F9" s="2064" t="s">
        <v>936</v>
      </c>
      <c r="G9" s="2020" t="s">
        <v>292</v>
      </c>
      <c r="H9" s="2023">
        <f>IF('R-Definição'!$E$121="Existente",((D88+D89)*D44+(D89*D11))/1000000,((D85+D88)*D44+(D89*D11))/1000000)</f>
        <v>3.7147128524999999</v>
      </c>
      <c r="I9" s="1735"/>
      <c r="J9" s="1735"/>
      <c r="K9" s="2016"/>
      <c r="L9" s="1735"/>
      <c r="M9" s="1735"/>
      <c r="N9" s="1735"/>
      <c r="O9" s="1735"/>
      <c r="P9" s="1735"/>
      <c r="Q9" s="1735"/>
      <c r="R9" s="991" t="s">
        <v>301</v>
      </c>
      <c r="S9" s="1623">
        <f>L92</f>
        <v>42.800000000000004</v>
      </c>
      <c r="T9" s="992">
        <f>P53</f>
        <v>0</v>
      </c>
      <c r="U9" s="992">
        <f>P56</f>
        <v>74.488198090302532</v>
      </c>
      <c r="V9" s="992">
        <f>P59</f>
        <v>18.500296876605329</v>
      </c>
      <c r="W9" s="992">
        <f>P62</f>
        <v>0</v>
      </c>
      <c r="X9" s="992">
        <f>P65</f>
        <v>29.9302781594598</v>
      </c>
      <c r="Y9" s="992">
        <f>P68</f>
        <v>11.589843853512441</v>
      </c>
      <c r="Z9" s="992">
        <f>P71</f>
        <v>0</v>
      </c>
      <c r="AA9" s="992">
        <f>IF('R-Definição'!E121="Novo",P74,(D44+D46)*D89/D40)</f>
        <v>43.198988242237817</v>
      </c>
      <c r="AB9" s="1622"/>
    </row>
    <row r="10" spans="1:28" s="2017" customFormat="1" ht="17.649999999999999" customHeight="1" x14ac:dyDescent="0.25">
      <c r="A10" s="1735"/>
      <c r="B10" s="2063" t="s">
        <v>715</v>
      </c>
      <c r="C10" s="2018" t="s">
        <v>195</v>
      </c>
      <c r="D10" s="2024">
        <f>D45</f>
        <v>0.61280875000000001</v>
      </c>
      <c r="E10" s="1735"/>
      <c r="F10" s="2064" t="str">
        <f>IF(D24="Sim","Custo Total Rota Tecnológica COM Coleta","Custo Total Rota Tecnológica SEM Coleta")</f>
        <v>Custo Total Rota Tecnológica SEM Coleta</v>
      </c>
      <c r="G10" s="2020" t="s">
        <v>292</v>
      </c>
      <c r="H10" s="2025">
        <f>H6+H8+H9</f>
        <v>37.813248142519988</v>
      </c>
      <c r="I10" s="1735"/>
      <c r="J10" s="1735"/>
      <c r="K10" s="2016"/>
      <c r="L10" s="1735"/>
      <c r="M10" s="1735"/>
      <c r="N10" s="1735"/>
      <c r="O10" s="1735"/>
      <c r="P10" s="1735"/>
      <c r="Q10" s="1735"/>
      <c r="R10" s="991" t="s">
        <v>302</v>
      </c>
      <c r="S10" s="1623">
        <v>0</v>
      </c>
      <c r="T10" s="993">
        <f>P52</f>
        <v>0</v>
      </c>
      <c r="U10" s="993">
        <f>P55</f>
        <v>74.250216626755233</v>
      </c>
      <c r="V10" s="993">
        <f>P58</f>
        <v>48.786218245523457</v>
      </c>
      <c r="W10" s="993">
        <f>P61</f>
        <v>0</v>
      </c>
      <c r="X10" s="993">
        <f>P64</f>
        <v>68.287146412397661</v>
      </c>
      <c r="Y10" s="993">
        <f>P67</f>
        <v>31.109058738409377</v>
      </c>
      <c r="Z10" s="993">
        <f>P70</f>
        <v>0</v>
      </c>
      <c r="AA10" s="992">
        <f>IF('R-Definição'!E121="Novo",P73,D89)</f>
        <v>91.754756028792414</v>
      </c>
      <c r="AB10" s="1622"/>
    </row>
    <row r="11" spans="1:28" s="2017" customFormat="1" ht="17.649999999999999" customHeight="1" x14ac:dyDescent="0.25">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51.334528479498417</v>
      </c>
      <c r="W11" s="994">
        <f>IF(W12&gt;0,($L45*$D112+$L47*$D111)/(W12*312),0)</f>
        <v>0</v>
      </c>
      <c r="X11" s="994">
        <f>IF(X12&gt;0,($P42*$D114+$P45*$D117)/(X12*312),0)</f>
        <v>118.6300425901883</v>
      </c>
      <c r="Y11" s="994">
        <f>IF(Y12&gt;0,($L48*$D108+$L49*$D109)/(Y12*312),0)</f>
        <v>0</v>
      </c>
      <c r="Z11" s="994">
        <f>IF(Z12&gt;0,($P43*$D114)/(Z12*312),0)</f>
        <v>0</v>
      </c>
      <c r="AA11" s="994">
        <f>IF(AA12&gt;0,($P44*$D114+$P46*$D117)/(AA12*312),0)</f>
        <v>0</v>
      </c>
      <c r="AB11" s="1622"/>
    </row>
    <row r="12" spans="1:28" s="2017" customFormat="1" ht="17.649999999999999" customHeight="1" x14ac:dyDescent="0.25">
      <c r="A12" s="1735"/>
      <c r="B12" s="2063" t="s">
        <v>560</v>
      </c>
      <c r="C12" s="2018" t="s">
        <v>195</v>
      </c>
      <c r="D12" s="2024">
        <f>(D16)/D8</f>
        <v>8.6464214998186226E-2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37.813248142519988</v>
      </c>
      <c r="I12" s="1735"/>
      <c r="J12" s="1735"/>
      <c r="K12" s="2016"/>
      <c r="L12" s="1735"/>
      <c r="M12" s="1735"/>
      <c r="N12" s="1735"/>
      <c r="O12" s="1735"/>
      <c r="P12" s="1735"/>
      <c r="Q12" s="1735"/>
      <c r="R12" s="991" t="s">
        <v>303</v>
      </c>
      <c r="S12" s="1623">
        <f>D38</f>
        <v>615</v>
      </c>
      <c r="T12" s="992">
        <f>$H52/312</f>
        <v>0</v>
      </c>
      <c r="U12" s="992">
        <f>$H55/312</f>
        <v>616.97115384615392</v>
      </c>
      <c r="V12" s="992">
        <f>$H58/312</f>
        <v>233.21509615384616</v>
      </c>
      <c r="W12" s="992">
        <f>$H61/312</f>
        <v>0</v>
      </c>
      <c r="X12" s="992">
        <f>$H64/312</f>
        <v>269.55469711538467</v>
      </c>
      <c r="Y12" s="992">
        <f>$H67/312</f>
        <v>229.12149254807693</v>
      </c>
      <c r="Z12" s="992">
        <f>$H70/312</f>
        <v>0</v>
      </c>
      <c r="AA12" s="992">
        <f>(D44+D46)/312</f>
        <v>238.12261874999999</v>
      </c>
      <c r="AB12" s="1622"/>
    </row>
    <row r="13" spans="1:28" s="2017" customFormat="1" ht="17.649999999999999" customHeight="1" thickBot="1" x14ac:dyDescent="0.3">
      <c r="A13" s="1735"/>
      <c r="B13" s="2065" t="s">
        <v>937</v>
      </c>
      <c r="C13" s="2026" t="s">
        <v>195</v>
      </c>
      <c r="D13" s="2027">
        <f>D16/((SUM('R-Entrada'!G28:G33))*312)</f>
        <v>0.27104769591907907</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197.06716772211792</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16590.753573851973</v>
      </c>
      <c r="E16" s="65"/>
      <c r="F16" s="2063" t="s">
        <v>565</v>
      </c>
      <c r="G16" s="2031" t="s">
        <v>304</v>
      </c>
      <c r="H16" s="2015">
        <f>K78</f>
        <v>266.80196353725734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0.31091291974253532</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34765.534049267611</v>
      </c>
      <c r="E18" s="65"/>
      <c r="F18" s="2064" t="s">
        <v>568</v>
      </c>
      <c r="G18" s="2029" t="s">
        <v>305</v>
      </c>
      <c r="H18" s="2022">
        <f>H24*1000000/D40</f>
        <v>1872.453952891658</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37352.599425518762</v>
      </c>
      <c r="E19" s="65"/>
      <c r="F19" s="2064" t="str">
        <f>J77</f>
        <v>Reinvestimento Total Rota (cada 5 anos)</v>
      </c>
      <c r="G19" s="2033" t="s">
        <v>304</v>
      </c>
      <c r="H19" s="2034">
        <f>K77</f>
        <v>5.2491252333602958</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11402.186265308819</v>
      </c>
      <c r="E20" s="65"/>
      <c r="F20" s="2066" t="s">
        <v>571</v>
      </c>
      <c r="G20" s="2035" t="s">
        <v>304</v>
      </c>
      <c r="H20" s="2036">
        <f>K75</f>
        <v>26.137499605755401</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2850546.5663272045</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359.28646448085135</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1109</v>
      </c>
      <c r="G25" s="2059" t="s">
        <v>195</v>
      </c>
      <c r="H25" s="2060">
        <f>'C-FCL Real'!C28</f>
        <v>9.611299999999999E-2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44.460084697853418</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-103.74773284515892</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1110</v>
      </c>
      <c r="C28" s="2033" t="s">
        <v>292</v>
      </c>
      <c r="D28" s="2047">
        <v>5</v>
      </c>
      <c r="E28" s="1735"/>
      <c r="F28" s="2064" t="str">
        <f>'C-FCL Real'!K27</f>
        <v>Índice de Retorno do Inv.: TIR</v>
      </c>
      <c r="G28" s="2033" t="s">
        <v>195</v>
      </c>
      <c r="H28" s="2048">
        <f>'C-FCL Real'!H9</f>
        <v>0.72255047376280834</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1111</v>
      </c>
      <c r="C29" s="2033" t="s">
        <v>304</v>
      </c>
      <c r="D29" s="2047">
        <v>10</v>
      </c>
      <c r="E29" s="1735"/>
      <c r="F29" s="2073" t="str">
        <f>'C-FCL Real'!O26</f>
        <v>Taxa de Lucratividade do Investimento</v>
      </c>
      <c r="G29" s="2049" t="s">
        <v>195</v>
      </c>
      <c r="H29" s="2050">
        <f>'C-FCL Real'!H14</f>
        <v>0.71123951748344172</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1112</v>
      </c>
      <c r="C30" s="2051" t="s">
        <v>304</v>
      </c>
      <c r="D30" s="2052">
        <v>0</v>
      </c>
      <c r="E30" s="1735"/>
      <c r="F30" s="2074" t="s">
        <v>955</v>
      </c>
      <c r="G30" s="2061" t="s">
        <v>311</v>
      </c>
      <c r="H30" s="2062">
        <f>D32*(D8*H33+D31*312*H31)/1000000000</f>
        <v>1.9865840741611267</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1105</v>
      </c>
      <c r="C31" s="2010" t="s">
        <v>21</v>
      </c>
      <c r="D31" s="2011">
        <v>50.5</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91.754756028792414</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1114</v>
      </c>
      <c r="G32" s="2007" t="s">
        <v>1107</v>
      </c>
      <c r="H32" s="2079">
        <f>'C-Calc Tarifa'!M32</f>
        <v>30.428175639900232</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1106</v>
      </c>
      <c r="C33" s="2008" t="s">
        <v>295</v>
      </c>
      <c r="D33" s="2009">
        <v>268.77733415910234</v>
      </c>
      <c r="E33" s="1079"/>
      <c r="F33" s="2078" t="s">
        <v>1108</v>
      </c>
      <c r="G33" s="2055" t="s">
        <v>295</v>
      </c>
      <c r="H33" s="2056">
        <v>288.27317615198319</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16590.753573851973</v>
      </c>
      <c r="I36" s="151"/>
      <c r="J36" s="1520" t="s">
        <v>898</v>
      </c>
      <c r="K36" s="271" t="s">
        <v>298</v>
      </c>
      <c r="L36" s="1531">
        <f>('R-Resumo Bal. Massa'!F58+'R-Resumo Bal. Massa'!G58)*312*D48/D8</f>
        <v>6813.1307779768285</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1.2772168653731351</v>
      </c>
      <c r="E37" s="151"/>
      <c r="F37" s="1520" t="s">
        <v>892</v>
      </c>
      <c r="G37" s="1483" t="s">
        <v>298</v>
      </c>
      <c r="H37" s="1531">
        <f>L48</f>
        <v>0</v>
      </c>
      <c r="I37" s="151"/>
      <c r="J37" s="1520" t="s">
        <v>899</v>
      </c>
      <c r="K37" s="1483" t="s">
        <v>298</v>
      </c>
      <c r="L37" s="1531">
        <f>('R-Resumo Bal. Massa'!F59+'R-Resumo Bal. Massa'!G59)*312*D48/D8</f>
        <v>4628.7682384728078</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615</v>
      </c>
      <c r="E38" s="151"/>
      <c r="F38" s="1520" t="s">
        <v>893</v>
      </c>
      <c r="G38" s="1483" t="s">
        <v>298</v>
      </c>
      <c r="H38" s="1531">
        <f>L49</f>
        <v>34765.534049267611</v>
      </c>
      <c r="I38" s="151"/>
      <c r="J38" s="1520" t="s">
        <v>900</v>
      </c>
      <c r="K38" s="1483" t="s">
        <v>298</v>
      </c>
      <c r="L38" s="1531">
        <f>('R-Resumo Bal. Massa'!F60+'R-Resumo Bal. Massa'!G60)*312*D48/D8</f>
        <v>2392.3970670758331</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15990</v>
      </c>
      <c r="E39" s="151"/>
      <c r="F39" s="1520" t="s">
        <v>894</v>
      </c>
      <c r="G39" s="1483" t="s">
        <v>298</v>
      </c>
      <c r="H39" s="1531">
        <f>L44+L45</f>
        <v>37352.599425518762</v>
      </c>
      <c r="I39" s="151"/>
      <c r="J39" s="1520" t="s">
        <v>901</v>
      </c>
      <c r="K39" s="1483" t="s">
        <v>298</v>
      </c>
      <c r="L39" s="1531">
        <f>('R-Resumo Bal. Massa'!F61+'R-Resumo Bal. Massa'!G61)*312*D48/D8</f>
        <v>1248.2071654308693</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191880</v>
      </c>
      <c r="E40" s="151"/>
      <c r="F40" s="1520" t="s">
        <v>895</v>
      </c>
      <c r="G40" s="1483" t="s">
        <v>298</v>
      </c>
      <c r="H40" s="1531">
        <f>L46+L47</f>
        <v>0</v>
      </c>
      <c r="I40" s="151"/>
      <c r="J40" s="1520" t="s">
        <v>902</v>
      </c>
      <c r="K40" s="1483" t="s">
        <v>298</v>
      </c>
      <c r="L40" s="1531">
        <f>('R-Resumo Bal. Massa'!F63+'R-Resumo Bal. Massa'!G63)*312*D48/D8</f>
        <v>312.05179135771732</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11402.186265308819</v>
      </c>
      <c r="I41" s="151"/>
      <c r="J41" s="1520" t="s">
        <v>903</v>
      </c>
      <c r="K41" s="1483" t="s">
        <v>298</v>
      </c>
      <c r="L41" s="1531">
        <f>('R-Resumo Bal. Massa'!F62+'R-Resumo Bal. Massa'!G62)*312*D48/D8</f>
        <v>1196.1985335379165</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2850546.5663272045</v>
      </c>
      <c r="I42" s="151"/>
      <c r="J42" s="1520" t="s">
        <v>904</v>
      </c>
      <c r="K42" s="1483" t="s">
        <v>298</v>
      </c>
      <c r="L42" s="1531">
        <f>('R-Resumo Bal. Massa'!J63)*312*D48/D8</f>
        <v>0</v>
      </c>
      <c r="M42" s="151"/>
      <c r="N42" s="1520" t="s">
        <v>922</v>
      </c>
      <c r="O42" s="1483" t="s">
        <v>306</v>
      </c>
      <c r="P42" s="1572">
        <f>IF('R-Definição'!J59&gt;0,'R-Resumo Bal. Massa'!I74*312/1000,0)*D48/D8</f>
        <v>11402.186265308819</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191880.00000000003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74294.25705</v>
      </c>
      <c r="E44" s="151"/>
      <c r="F44" s="1520"/>
      <c r="G44" s="1483"/>
      <c r="H44" s="1531"/>
      <c r="I44" s="151"/>
      <c r="J44" s="1520" t="s">
        <v>906</v>
      </c>
      <c r="K44" s="271" t="s">
        <v>298</v>
      </c>
      <c r="L44" s="1531">
        <f>IF('R-Definição'!I51&gt;0,('R-Definição'!I49-'R-Definição'!O53-'R-Definição'!O55)*'R-Definição'!L50/100*312,0)*D48/D8</f>
        <v>37352.599425518762</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0.61280875000000001</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2850546.5663272045</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1121</v>
      </c>
      <c r="C48" s="1483" t="s">
        <v>298</v>
      </c>
      <c r="D48" s="1782">
        <f>SUMIF('C-FCL Real'!$C$33:'C-FCL Real'!$BG$33,1,'C-FCL Real'!C35:'C-FCL Real'!BG35)/D32</f>
        <v>208034.52757181157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t="str">
        <f>B48</f>
        <v>Qt Médio de Geração de RSU no Prazo do Contrato</v>
      </c>
      <c r="C49" s="1536" t="s">
        <v>21</v>
      </c>
      <c r="D49" s="1532">
        <f>D48/312</f>
        <v>666.77733196093448</v>
      </c>
      <c r="E49" s="151"/>
      <c r="F49" s="1522"/>
      <c r="G49" s="1536"/>
      <c r="H49" s="1532"/>
      <c r="I49" s="151"/>
      <c r="J49" s="1522" t="s">
        <v>911</v>
      </c>
      <c r="K49" s="1536" t="s">
        <v>298</v>
      </c>
      <c r="L49" s="1532">
        <f>'R-Resumo Bal. Massa'!I67*312*D48/D8</f>
        <v>34765.534049267611</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customHeight="1" outlineLevel="1" x14ac:dyDescent="0.25">
      <c r="A55" s="44"/>
      <c r="B55" s="1520" t="s">
        <v>583</v>
      </c>
      <c r="C55" s="1483" t="s">
        <v>760</v>
      </c>
      <c r="D55" s="1565">
        <v>0</v>
      </c>
      <c r="E55" s="194"/>
      <c r="F55" s="1097" t="s">
        <v>326</v>
      </c>
      <c r="G55" s="1097" t="str">
        <f>'C-Triagem Mec'!L2</f>
        <v>Sim</v>
      </c>
      <c r="H55" s="1097">
        <f>IF('C-Triagem Mec'!D2&gt;0,'C-Triagem Mec'!H2,0)</f>
        <v>192495.00000000003</v>
      </c>
      <c r="I55" s="679"/>
      <c r="J55" s="1097" t="s">
        <v>326</v>
      </c>
      <c r="K55" s="1624">
        <f>IF('C-Triagem Mec'!$E$7="SIM",'C-Triagem Mec'!$E$19,IF('C-Triagem Mec'!$I$7="SIM",'C-Triagem Mec'!$I$19,IF('C-Triagem Mec'!$M$7="SIM",'C-Triagem Mec'!$M$19,IF('C-Triagem Mec'!$Q$7="SIM",'C-Triagem Mec'!$Q$19,IF('C-Triagem Mec'!$U$7="SIM",'C-Triagem Mec'!$U$19,0)))))</f>
        <v>92.429441375942247</v>
      </c>
      <c r="L55" s="1097">
        <f>IF('C-Triagem Mec'!$E$7="SIM",'C-Triagem Mec'!$E$20,IF('C-Triagem Mec'!$I$7="SIM",'C-Triagem Mec'!$I$20,IF('C-Triagem Mec'!$M$7="SIM",'C-Triagem Mec'!$M$20,IF('C-Triagem Mec'!$Q$7="SIM",'C-Triagem Mec'!$Q$20,IF('C-Triagem Mec'!$U$7="SIM",'C-Triagem Mec'!$U$20,0)))))</f>
        <v>480.16541404162308</v>
      </c>
      <c r="M55" s="194"/>
      <c r="N55" s="1097" t="s">
        <v>326</v>
      </c>
      <c r="O55" s="1624">
        <f>IF('C-Triagem Mec'!$E$7="SIM",'C-Triagem Mec'!$E$43,IF('C-Triagem Mec'!$I$7="SIM",'C-Triagem Mec'!$I$43,IF('C-Triagem Mec'!$M$7="SIM",'C-Triagem Mec'!$M$43,IF('C-Triagem Mec'!$Q$7="SIM",'C-Triagem Mec'!$Q$43,IF('C-Triagem Mec'!$U$7="SIM",'C-Triagem Mec'!$U$43,0)))))</f>
        <v>14.292795449567251</v>
      </c>
      <c r="P55" s="1097">
        <f>IF('C-Triagem Mec'!$E$7="SIM",'C-Triagem Mec'!$E$42,IF('C-Triagem Mec'!$I$7="SIM",'C-Triagem Mec'!$I$42,IF('C-Triagem Mec'!$M$7="SIM",'C-Triagem Mec'!$M$42,IF('C-Triagem Mec'!$Q$7="SIM",'C-Triagem Mec'!$Q$42,IF('C-Triagem Mec'!$U$7="SIM",'C-Triagem Mec'!$U$42,0)))))</f>
        <v>74.250216626755233</v>
      </c>
      <c r="Q55" s="194"/>
      <c r="R55" s="988"/>
      <c r="S55" s="989"/>
      <c r="T55" s="989"/>
      <c r="U55" s="989"/>
      <c r="V55" s="989"/>
      <c r="W55" s="989"/>
      <c r="X55" s="989"/>
      <c r="Y55" s="989"/>
      <c r="Z55" s="1597"/>
    </row>
    <row r="56" spans="1:26" ht="17.649999999999999"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481.70440575329502</v>
      </c>
      <c r="M56" s="194"/>
      <c r="N56" s="1520" t="s">
        <v>323</v>
      </c>
      <c r="O56" s="278">
        <f>IF(AND(H55&gt;0,D98="Não"),((L36*D101)+(L37*D102)+(L38*D103)+(L39*D104)+(L40*D106)+(L41*D105))/$D$40,((L36*D101)+(L37*D102)+(L38*D103)+(L39*D104)+(L40*D106)+(L41*D105))/$D$40*(1-D99))</f>
        <v>0</v>
      </c>
      <c r="P56" s="1506">
        <f>IF(O55&gt;0,O55*1000000/$D$40,0)</f>
        <v>74.488198090302532</v>
      </c>
      <c r="Q56" s="194"/>
      <c r="R56" s="988"/>
      <c r="S56" s="989"/>
      <c r="T56" s="989"/>
      <c r="U56" s="989"/>
      <c r="V56" s="989"/>
      <c r="W56" s="989"/>
      <c r="X56" s="989"/>
      <c r="Y56" s="989"/>
      <c r="Z56" s="1597"/>
    </row>
    <row r="57" spans="1:26" ht="17.649999999999999"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21780.28137423857</v>
      </c>
      <c r="H57" s="1559"/>
      <c r="I57" s="679"/>
      <c r="J57" s="1549" t="s">
        <v>324</v>
      </c>
      <c r="K57" s="271">
        <f>IF('C-Triagem Mec'!$E$7="SIM",'C-Triagem Mec'!$E$23,IF('C-Triagem Mec'!$I$7="SIM",'C-Triagem Mec'!$I$23,IF('C-Triagem Mec'!$M$7="SIM",'C-Triagem Mec'!$M$23,IF('C-Triagem Mec'!$Q$7="SIM",'C-Triagem Mec'!$Q$23,IF('C-Triagem Mec'!$U$7="SIM",'C-Triagem Mec'!$U$23,"0")))))</f>
        <v>1.7591603189764911</v>
      </c>
      <c r="L57" s="1550"/>
      <c r="M57" s="194"/>
      <c r="N57" s="1520" t="s">
        <v>325</v>
      </c>
      <c r="O57" s="278">
        <f>IF('C-Triagem Mec'!$E$7="SIM",'C-Triagem Mec'!$E$44,IF('C-Triagem Mec'!$I$7="SIM",'C-Triagem Mec'!$I$44,IF('C-Triagem Mec'!$M$7="SIM",'C-Triagem Mec'!$M$44,IF('C-Triagem Mec'!$Q$7="SIM",'C-Triagem Mec'!$Q$44,IF('C-Triagem Mec'!$U$7="SIM",'C-Triagem Mec'!$U$44,0)))))</f>
        <v>5.1696</v>
      </c>
      <c r="P57" s="1525">
        <f>IF('C-Triagem Mec'!$E$7="SIM",'C-Triagem Mec'!$E$45,IF('C-Triagem Mec'!$I$7="SIM",'C-Triagem Mec'!$I$45,IF('C-Triagem Mec'!$M$7="SIM",'C-Triagem Mec'!$M$45,IF('C-Triagem Mec'!$Q$7="SIM",'C-Triagem Mec'!$Q$45,IF('C-Triagem Mec'!$U$7="SIM",'C-Triagem Mec'!$U$45,0)))))</f>
        <v>47.394454139417903</v>
      </c>
      <c r="Q57" s="194"/>
      <c r="R57" s="988"/>
      <c r="S57" s="989"/>
      <c r="T57" s="989"/>
      <c r="U57" s="989"/>
      <c r="V57" s="989"/>
      <c r="W57" s="989"/>
      <c r="X57" s="989"/>
      <c r="Y57" s="989"/>
      <c r="Z57" s="1597"/>
    </row>
    <row r="58" spans="1:26" ht="17.649999999999999" customHeight="1" outlineLevel="1" x14ac:dyDescent="0.25">
      <c r="A58" s="43"/>
      <c r="B58" s="1520" t="s">
        <v>1115</v>
      </c>
      <c r="C58" s="1999" t="s">
        <v>195</v>
      </c>
      <c r="D58" s="1530">
        <v>0.65</v>
      </c>
      <c r="E58" s="194"/>
      <c r="F58" s="1097" t="s">
        <v>592</v>
      </c>
      <c r="G58" s="1097" t="str">
        <f>'C-Produção CDR-TM'!L2</f>
        <v>Sim</v>
      </c>
      <c r="H58" s="1097">
        <f>IF('C-Produção CDR-TM'!D2&gt;0,'C-Produção CDR-TM'!H2,0)</f>
        <v>72763.11</v>
      </c>
      <c r="I58" s="679"/>
      <c r="J58" s="1097" t="s">
        <v>592</v>
      </c>
      <c r="K58" s="1624">
        <f>IF('C-Produção CDR-TM'!$E$7="SIM",'C-Produção CDR-TM'!$E$19,IF('C-Produção CDR-TM'!$I$7="SIM",'C-Produção CDR-TM'!$I$19,IF('C-Produção CDR-TM'!$M$7="SIM",'C-Produção CDR-TM'!$M$19,IF('C-Produção CDR-TM'!$Q$7="SIM",'C-Produção CDR-TM'!$Q$19,IF('C-Produção CDR-TM'!$U$7="SIM",'C-Produção CDR-TM'!$U$19,0)))))</f>
        <v>36.429949482820213</v>
      </c>
      <c r="L58" s="1097">
        <f>IF('C-Produção CDR-TM'!$E$7="SIM",'C-Produção CDR-TM'!$E$20,IF('C-Produção CDR-TM'!$I$7="SIM",'C-Produção CDR-TM'!$I$20,IF('C-Produção CDR-TM'!$M$7="SIM",'C-Produção CDR-TM'!$M$20,IF('C-Produção CDR-TM'!$Q$7="SIM",'C-Produção CDR-TM'!$Q$20,IF('C-Produção CDR-TM'!$U$7="SIM",'C-Produção CDR-TM'!$U$20,0)))))</f>
        <v>500.66509640421106</v>
      </c>
      <c r="M58" s="194"/>
      <c r="N58" s="1097" t="s">
        <v>592</v>
      </c>
      <c r="O58" s="1624">
        <f>IF('C-Produção CDR-TM'!$E$7="SIM",'C-Produção CDR-TM'!$E$43,IF('C-Produção CDR-TM'!$I$7="SIM",'C-Produção CDR-TM'!$I$43,IF('C-Produção CDR-TM'!$M$7="SIM",'C-Produção CDR-TM'!$M$43,IF('C-Produção CDR-TM'!$Q$7="SIM",'C-Produção CDR-TM'!$Q$43,IF('C-Produção CDR-TM'!$U$7="SIM",'C-Produção CDR-TM'!$U$43,0)))))</f>
        <v>3.5498369646830303</v>
      </c>
      <c r="P58" s="1097">
        <f>IF('C-Produção CDR-TM'!$E$7="SIM",'C-Produção CDR-TM'!$E$42,IF('C-Produção CDR-TM'!$I$7="SIM",'C-Produção CDR-TM'!$I$42,IF('C-Produção CDR-TM'!$M$7="SIM",'C-Produção CDR-TM'!$M$42,IF('C-Produção CDR-TM'!$Q$7="SIM",'C-Produção CDR-TM'!$Q$42,IF('C-Produção CDR-TM'!$U$7="SIM",'C-Produção CDR-TM'!$U$42,0)))))</f>
        <v>48.786218245523457</v>
      </c>
      <c r="Q58" s="194"/>
      <c r="R58" s="988"/>
      <c r="S58" s="989"/>
      <c r="T58" s="989"/>
      <c r="U58" s="989"/>
      <c r="V58" s="989"/>
      <c r="W58" s="989"/>
      <c r="X58" s="989"/>
      <c r="Y58" s="989"/>
      <c r="Z58" s="1597"/>
    </row>
    <row r="59" spans="1:26" ht="17.649999999999999"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189.85798146143534</v>
      </c>
      <c r="M59" s="194"/>
      <c r="N59" s="1520" t="s">
        <v>323</v>
      </c>
      <c r="O59" s="278">
        <f>IF(H58&gt;0,((L44*D112)+(L46*D111))/$D$40,0)</f>
        <v>19.466645520908255</v>
      </c>
      <c r="P59" s="1504">
        <f>IF(O58&gt;0,O58*1000000/$D$40,0)</f>
        <v>18.500296876605329</v>
      </c>
      <c r="Q59" s="194"/>
      <c r="R59" s="988"/>
      <c r="S59" s="989"/>
      <c r="T59" s="989"/>
      <c r="U59" s="989"/>
      <c r="V59" s="989"/>
      <c r="W59" s="989"/>
      <c r="X59" s="989"/>
      <c r="Y59" s="989"/>
      <c r="Z59" s="1597"/>
    </row>
    <row r="60" spans="1:26" ht="17.649999999999999" customHeight="1" outlineLevel="1" x14ac:dyDescent="0.25">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6450</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0.7252473166741048</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0.72719999999999996</v>
      </c>
      <c r="P60" s="1525">
        <f>IF('C-Produção CDR-TM'!$E$7="SIM",'C-Produção CDR-TM'!$E$45,IF('C-Produção CDR-TM'!$I$7="SIM",'C-Produção CDR-TM'!$I$45,IF('C-Produção CDR-TM'!$M$7="SIM",'C-Produção CDR-TM'!$M$45,IF('C-Produção CDR-TM'!$Q$7="SIM",'C-Produção CDR-TM'!$Q$45,IF('C-Produção CDR-TM'!$U$7="SIM",'C-Produção CDR-TM'!$U$45,0)))))</f>
        <v>38.792142951050749</v>
      </c>
      <c r="Q60" s="194"/>
      <c r="R60" s="988"/>
      <c r="S60" s="989"/>
      <c r="T60" s="989"/>
      <c r="U60" s="989"/>
      <c r="V60" s="989"/>
      <c r="W60" s="989"/>
      <c r="X60" s="989"/>
      <c r="Y60" s="989"/>
      <c r="Z60" s="1597"/>
    </row>
    <row r="61" spans="1:26" ht="17.649999999999999"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customHeight="1" outlineLevel="1" x14ac:dyDescent="0.25">
      <c r="A64" s="43"/>
      <c r="B64" s="1520" t="s">
        <v>601</v>
      </c>
      <c r="C64" s="1482" t="s">
        <v>328</v>
      </c>
      <c r="D64" s="1567">
        <v>10000</v>
      </c>
      <c r="E64" s="270"/>
      <c r="F64" s="1097" t="s">
        <v>329</v>
      </c>
      <c r="G64" s="1097" t="str">
        <f>'C-Biodigestão'!L2</f>
        <v>Sim</v>
      </c>
      <c r="H64" s="1097">
        <f>IF('C-Biodigestão'!D2&gt;0,'C-Biodigestão'!H2,0)</f>
        <v>84101.065500000012</v>
      </c>
      <c r="I64" s="679"/>
      <c r="J64" s="1097" t="s">
        <v>329</v>
      </c>
      <c r="K64" s="1624">
        <f>IF('C-Biodigestão'!$E$7="SIM",'C-Biodigestão'!$E$19,IF('C-Biodigestão'!$I$7="SIM",'C-Biodigestão'!$I$19,IF('C-Biodigestão'!$M$7="SIM",'C-Biodigestão'!$M$19,IF('C-Biodigestão'!$Q$7="SIM",'C-Biodigestão'!$Q$19,IF('C-Biodigestão'!$U$7="SIM",'C-Biodigestão'!$U$19,0)))))</f>
        <v>94.70198508782363</v>
      </c>
      <c r="L64" s="1097">
        <f>IF('C-Biodigestão'!$E$7="SIM",'C-Biodigestão'!$E$20,IF('C-Biodigestão'!$I$7="SIM",'C-Biodigestão'!$I$20,IF('C-Biodigestão'!$M$7="SIM",'C-Biodigestão'!$M$20,IF('C-Biodigestão'!$Q$7="SIM",'C-Biodigestão'!$Q$20,IF('C-Biodigestão'!$U$7="SIM",'C-Biodigestão'!$U$20,0)))))</f>
        <v>1126.0497655386259</v>
      </c>
      <c r="M64" s="280"/>
      <c r="N64" s="1097" t="s">
        <v>329</v>
      </c>
      <c r="O64" s="1624">
        <f>IF('C-Biodigestão'!$E$7="SIM",'C-Biodigestão'!$E$46,IF('C-Biodigestão'!$I$7="SIM",'C-Biodigestão'!$I$46,IF('C-Biodigestão'!$M$7="SIM",'C-Biodigestão'!$M$46,IF('C-Biodigestão'!$Q$7="SIM",'C-Biodigestão'!$Q$46,IF('C-Biodigestão'!$U$7="SIM",'C-Biodigestão'!$U$46,0)))))</f>
        <v>5.743021773237146</v>
      </c>
      <c r="P64" s="1097">
        <f>IF('C-Biodigestão'!$E$7="SIM",'C-Biodigestão'!$E$45,IF('C-Biodigestão'!$I$7="SIM",'C-Biodigestão'!$I$45,IF('C-Biodigestão'!$M$7="SIM",'C-Biodigestão'!$M$45,IF('C-Biodigestão'!$Q$7="SIM",'C-Biodigestão'!$Q$45,IF('C-Biodigestão'!$U$7="SIM",'C-Biodigestão'!$U$45,0)))))</f>
        <v>68.287146412397661</v>
      </c>
      <c r="Q64" s="194"/>
      <c r="R64" s="988"/>
      <c r="S64" s="989"/>
      <c r="T64" s="989"/>
      <c r="U64" s="989"/>
      <c r="V64" s="989"/>
      <c r="W64" s="989"/>
      <c r="X64" s="989"/>
      <c r="Y64" s="989"/>
      <c r="Z64" s="1597"/>
    </row>
    <row r="65" spans="1:26" ht="17.649999999999999"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493.54797314896615</v>
      </c>
      <c r="M65" s="281"/>
      <c r="N65" s="1520" t="s">
        <v>323</v>
      </c>
      <c r="O65" s="278">
        <f>IF(H64&gt;0,((P42*D114)+(P45*D117))/$D$40,0)</f>
        <v>51.995585689729083</v>
      </c>
      <c r="P65" s="1506">
        <f>IF(O64&gt;0,O64*1000000/$D$40,0)</f>
        <v>29.9302781594598</v>
      </c>
      <c r="Q65" s="194"/>
      <c r="R65" s="988"/>
      <c r="S65" s="989"/>
      <c r="T65" s="989"/>
      <c r="U65" s="989"/>
      <c r="V65" s="989"/>
      <c r="W65" s="989"/>
      <c r="X65" s="989"/>
      <c r="Y65" s="989"/>
      <c r="Z65" s="1597"/>
    </row>
    <row r="66" spans="1:26" ht="17.649999999999999" customHeight="1" outlineLevel="1" x14ac:dyDescent="0.25">
      <c r="A66" s="37"/>
      <c r="B66" s="1520" t="s">
        <v>761</v>
      </c>
      <c r="C66" s="2281" t="s">
        <v>330</v>
      </c>
      <c r="D66" s="2282"/>
      <c r="E66" s="270"/>
      <c r="F66" s="1520" t="s">
        <v>591</v>
      </c>
      <c r="G66" s="264">
        <f>IF('C-Biodigestão'!$E$7="SIM",'C-Biodigestão'!$D$17,IF('C-Biodigestão'!$I$7="SIM",'C-Biodigestão'!$H$17,IF('C-Biodigestão'!$M$7="SIM",'C-Biodigestão'!$L$17,IF('C-Biodigestão'!$Q$7="SIM",'C-Biodigestão'!$P$17,IF('C-Biodigestão'!$U$7="SIM",'C-Biodigestão'!$T$17,"0")))))</f>
        <v>50829.211548375315</v>
      </c>
      <c r="H66" s="1558"/>
      <c r="I66" s="864"/>
      <c r="J66" s="1549" t="s">
        <v>324</v>
      </c>
      <c r="K66" s="271">
        <f>IF('C-Biodigestão'!$E$7="SIM",'C-Biodigestão'!$E$26,IF('C-Biodigestão'!$I$7="SIM",'C-Biodigestão'!$I$26,IF('C-Biodigestão'!$M$7="SIM",'C-Biodigestão'!$M$26,IF('C-Biodigestão'!$Q$7="SIM",'C-Biodigestão'!$Q$26,IF('C-Biodigestão'!$U$7="SIM",'C-Biodigestão'!$U$26,"0")))))</f>
        <v>1.5229306893363446</v>
      </c>
      <c r="L66" s="1551"/>
      <c r="M66" s="281"/>
      <c r="N66" s="1520" t="s">
        <v>325</v>
      </c>
      <c r="O66" s="278">
        <f>IF('C-Biodigestão'!$E$7="SIM",'C-Biodigestão'!$E$47,IF('C-Biodigestão'!$I$7="SIM",'C-Biodigestão'!$I$47,IF('C-Biodigestão'!$M$7="SIM",'C-Biodigestão'!$M$47,IF('C-Biodigestão'!$Q$7="SIM",'C-Biodigestão'!$Q$47,IF('C-Biodigestão'!$U$7="SIM",'C-Biodigestão'!$U$47,0)))))</f>
        <v>2.0388000000000002</v>
      </c>
      <c r="P66" s="1525">
        <f>IF('C-Biodigestão'!$E$7="SIM",'C-Biodigestão'!$E$48,IF('C-Biodigestão'!$I$7="SIM",'C-Biodigestão'!$I$48,IF('C-Biodigestão'!$M$7="SIM",'C-Biodigestão'!$M$48,IF('C-Biodigestão'!$Q$7="SIM",'C-Biodigestão'!$Q$48,IF('C-Biodigestão'!$U$7="SIM",'C-Biodigestão'!$U$48,0)))))</f>
        <v>44.044885177312594</v>
      </c>
      <c r="Q66" s="194"/>
      <c r="R66" s="1000"/>
      <c r="S66" s="1001"/>
      <c r="T66" s="1001"/>
      <c r="U66" s="1001"/>
      <c r="V66" s="1001"/>
      <c r="W66" s="1001"/>
      <c r="X66" s="1001"/>
      <c r="Y66" s="1001"/>
      <c r="Z66" s="1601"/>
    </row>
    <row r="67" spans="1:26" ht="17.649999999999999" customHeight="1" outlineLevel="1" x14ac:dyDescent="0.25">
      <c r="A67" s="46"/>
      <c r="B67" s="1520" t="s">
        <v>603</v>
      </c>
      <c r="C67" s="1483" t="s">
        <v>328</v>
      </c>
      <c r="D67" s="1567">
        <v>1250</v>
      </c>
      <c r="E67" s="269"/>
      <c r="F67" s="1097" t="s">
        <v>132</v>
      </c>
      <c r="G67" s="1097" t="str">
        <f>'C-Compostagem'!L2</f>
        <v>Sim</v>
      </c>
      <c r="H67" s="1097">
        <f>IF('C-Compostagem'!D2&gt;0,'C-Compostagem'!H2,0)</f>
        <v>71485.905675000002</v>
      </c>
      <c r="I67" s="679"/>
      <c r="J67" s="1097" t="s">
        <v>132</v>
      </c>
      <c r="K67" s="1624">
        <f>IF('C-Compostagem'!$E$7="SIM",'C-Compostagem'!$E$19,IF('C-Compostagem'!$I$7="SIM",'C-Compostagem'!$I$19,IF('C-Compostagem'!$M$7="SIM",'C-Compostagem'!$M$19,IF('C-Compostagem'!$Q$7="SIM",'C-Compostagem'!$Q$19,IF('C-Compostagem'!$U$7="SIM",'C-Compostagem'!$U$19,0)))))</f>
        <v>21.571672134543526</v>
      </c>
      <c r="L67" s="1097">
        <f>IF('C-Compostagem'!$E$7="SIM",'C-Compostagem'!$E$20,IF('C-Compostagem'!$I$7="SIM",'C-Compostagem'!$I$20,IF('C-Compostagem'!$M$7="SIM",'C-Compostagem'!$M$20,IF('C-Compostagem'!$Q$7="SIM",'C-Compostagem'!$Q$20,IF('C-Compostagem'!$U$7="SIM",'C-Compostagem'!$U$20,0)))))</f>
        <v>301.7611923756819</v>
      </c>
      <c r="M67" s="280"/>
      <c r="N67" s="1097" t="s">
        <v>132</v>
      </c>
      <c r="O67" s="1624">
        <f>IF('C-Compostagem'!$E$7="SIM",'C-Compostagem'!$E$43,IF('C-Compostagem'!$I$7="SIM",'C-Compostagem'!$I$43,IF('C-Compostagem'!$M$7="SIM",'C-Compostagem'!$M$43,IF('C-Compostagem'!$Q$7="SIM",'C-Compostagem'!$Q$43,IF('C-Compostagem'!$U$7="SIM",'C-Compostagem'!$U$43,0)))))</f>
        <v>2.2238592386119671</v>
      </c>
      <c r="P67" s="1097">
        <f>IF('C-Compostagem'!$E$7="SIM",'C-Compostagem'!$E$42,IF('C-Compostagem'!$I$7="SIM",'C-Compostagem'!$I$42,IF('C-Compostagem'!$M$7="SIM",'C-Compostagem'!$M$42,IF('C-Compostagem'!$Q$7="SIM",'C-Compostagem'!$Q$42,IF('C-Compostagem'!$U$7="SIM",'C-Compostagem'!$U$42,0)))))</f>
        <v>31.109058738409377</v>
      </c>
      <c r="Q67" s="105"/>
      <c r="R67" s="1002"/>
      <c r="S67" s="1003"/>
      <c r="T67" s="1003"/>
      <c r="U67" s="1003"/>
      <c r="V67" s="1003"/>
      <c r="W67" s="1003"/>
      <c r="X67" s="1003"/>
      <c r="Y67" s="1003"/>
      <c r="Z67" s="1602"/>
    </row>
    <row r="68" spans="1:26" ht="17.649999999999999"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112.42272323610344</v>
      </c>
      <c r="M68" s="281"/>
      <c r="N68" s="1520" t="s">
        <v>323</v>
      </c>
      <c r="O68" s="278">
        <f>IF(H67&gt;0,((L48*D108)+(L49*D109))/$D$40,0)</f>
        <v>0</v>
      </c>
      <c r="P68" s="1506">
        <f>IF(O67&gt;0,O67*1000000/$D$40,0)</f>
        <v>11.589843853512441</v>
      </c>
      <c r="Q68" s="194"/>
      <c r="R68" s="988"/>
      <c r="S68" s="989"/>
      <c r="T68" s="989"/>
      <c r="U68" s="989"/>
      <c r="V68" s="989"/>
      <c r="W68" s="989"/>
      <c r="X68" s="989"/>
      <c r="Y68" s="989"/>
      <c r="Z68" s="1597"/>
    </row>
    <row r="69" spans="1:26" ht="17.649999999999999" customHeight="1" outlineLevel="1" x14ac:dyDescent="0.25">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18381.996827976705</v>
      </c>
      <c r="H69" s="1561"/>
      <c r="I69" s="864"/>
      <c r="J69" s="1549" t="s">
        <v>324</v>
      </c>
      <c r="K69" s="271">
        <f>IF('C-Compostagem'!$E$7="SIM",'C-Compostagem'!$E$23,IF('C-Compostagem'!$I$7="SIM",'C-Compostagem'!$I$23,IF('C-Compostagem'!$M$7="SIM",'C-Compostagem'!$M$23,IF('C-Compostagem'!$Q$7="SIM",'C-Compostagem'!$Q$23,IF('C-Compostagem'!$U$7="SIM",'C-Compostagem'!$U$23,"0")))))</f>
        <v>1.2417869083733553</v>
      </c>
      <c r="L69" s="1551"/>
      <c r="M69" s="281"/>
      <c r="N69" s="1520" t="s">
        <v>325</v>
      </c>
      <c r="O69" s="278">
        <f>IF('C-Compostagem'!$E$7="SIM",'C-Compostagem'!$E$44,IF('C-Compostagem'!$I$7="SIM",'C-Compostagem'!$I$44,IF('C-Compostagem'!$M$7="SIM",'C-Compostagem'!$M$44,IF('C-Compostagem'!$Q$7="SIM",'C-Compostagem'!$Q$44,IF('C-Compostagem'!$U$7="SIM",'C-Compostagem'!$U$44,0)))))</f>
        <v>0.59061227140799999</v>
      </c>
      <c r="P69" s="1531">
        <f>IF('C-Compostagem'!$E$7="SIM",'C-Compostagem'!$E$45,IF('C-Compostagem'!$I$7="SIM",'C-Compostagem'!$I$45,IF('C-Compostagem'!$M$7="SIM",'C-Compostagem'!$M$45,IF('C-Compostagem'!$Q$7="SIM",'C-Compostagem'!$Q$45,IF('C-Compostagem'!$U$7="SIM",'C-Compostagem'!$U$45,0)))))</f>
        <v>22.847118628240938</v>
      </c>
      <c r="Q69" s="194"/>
      <c r="R69" s="988"/>
      <c r="S69" s="989"/>
      <c r="T69" s="989"/>
      <c r="U69" s="989"/>
      <c r="V69" s="989"/>
      <c r="W69" s="989"/>
      <c r="X69" s="989"/>
      <c r="Y69" s="989"/>
      <c r="Z69" s="1597"/>
    </row>
    <row r="70" spans="1:26" ht="17.649999999999999" customHeight="1" outlineLevel="1" x14ac:dyDescent="0.25">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649999999999999"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649999999999999" customHeight="1" outlineLevel="1" x14ac:dyDescent="0.25">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649999999999999" customHeight="1" outlineLevel="1" x14ac:dyDescent="0.25">
      <c r="A73" s="34"/>
      <c r="B73" s="1520" t="s">
        <v>609</v>
      </c>
      <c r="C73" s="1482" t="s">
        <v>327</v>
      </c>
      <c r="D73" s="1565">
        <v>53</v>
      </c>
      <c r="E73" s="194"/>
      <c r="F73" s="1097" t="s">
        <v>66</v>
      </c>
      <c r="G73" s="1097" t="str">
        <f>'C-Aterro Sanitário'!L2</f>
        <v>Sim</v>
      </c>
      <c r="H73" s="1097">
        <f>IF('C-Aterro Sanitário'!D2&gt;0,'C-Aterro Sanitário'!H2,0)</f>
        <v>90338.87966875</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21.668915456127721</v>
      </c>
      <c r="L73" s="1097">
        <f>IF('C-Aterro Sanitário'!$E$7="SIM",'C-Aterro Sanitário'!$E$19,IF('C-Aterro Sanitário'!$I$7="SIM",'C-Aterro Sanitário'!$I$19,IF('C-Aterro Sanitário'!$M$7="SIM",'C-Aterro Sanitário'!$M$19,IF('C-Aterro Sanitário'!$Q$7="SIM",'C-Aterro Sanitário'!$Q$19,IF('C-Aterro Sanitário'!$U$7="SIM",'C-Aterro Sanitário'!$U$19,0)))))</f>
        <v>239.86256565923992</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8.2890218639205919</v>
      </c>
      <c r="P73" s="1097">
        <f>IF('C-Aterro Sanitário'!$E$7="SIM",'C-Aterro Sanitário'!$E$45,IF('C-Aterro Sanitário'!$I$7="SIM",'C-Aterro Sanitário'!$I$45,IF('C-Aterro Sanitário'!$M$7="SIM",'C-Aterro Sanitário'!$M$45,IF('C-Aterro Sanitário'!$Q$7="SIM",'C-Aterro Sanitário'!$Q$45,IF('C-Aterro Sanitário'!$U$7="SIM",'C-Aterro Sanitário'!$U$45,0)))))</f>
        <v>91.754756028792414</v>
      </c>
      <c r="Q73" s="194"/>
      <c r="R73" s="988"/>
      <c r="S73" s="989"/>
      <c r="T73" s="989"/>
      <c r="U73" s="989"/>
      <c r="V73" s="989"/>
      <c r="W73" s="989"/>
      <c r="X73" s="989"/>
      <c r="Y73" s="989"/>
      <c r="Z73" s="1597"/>
    </row>
    <row r="74" spans="1:26" ht="17.649999999999999"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112.929515614591</v>
      </c>
      <c r="M74" s="281"/>
      <c r="N74" s="1520" t="s">
        <v>323</v>
      </c>
      <c r="O74" s="278">
        <f>IF(H73&gt;0,((P44*D114+P46*D117))/$D$40,0)</f>
        <v>0</v>
      </c>
      <c r="P74" s="1506">
        <f>IF(O73&gt;0,O73*1000000/$D$40,0)</f>
        <v>43.198988242237817</v>
      </c>
      <c r="Q74" s="194"/>
      <c r="R74" s="988"/>
      <c r="S74" s="989"/>
      <c r="T74" s="989"/>
      <c r="U74" s="989"/>
      <c r="V74" s="989"/>
      <c r="W74" s="989"/>
      <c r="X74" s="989"/>
      <c r="Y74" s="989"/>
      <c r="Z74" s="1597"/>
    </row>
    <row r="75" spans="1:26" ht="17.649999999999999"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26.137499605755401</v>
      </c>
      <c r="L75" s="1531">
        <f>IF(K73&gt;0,K75*1000000/(H73*20),0)</f>
        <v>14.466362490654662</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2.4144705026433302</v>
      </c>
      <c r="P75" s="1531">
        <f>IF('C-Aterro Sanitário'!$E$7="SIM",'C-Aterro Sanitário'!$E$48,IF('C-Aterro Sanitário'!$I$7="SIM",'C-Aterro Sanitário'!$I$48,IF('C-Aterro Sanitário'!$M$7="SIM",'C-Aterro Sanitário'!$M$48,IF('C-Aterro Sanitário'!$Q$7="SIM",'C-Aterro Sanitário'!$Q$48,IF('C-Aterro Sanitário'!$U$7="SIM",'C-Aterro Sanitário'!$U$48,0)))))</f>
        <v>65.027941267566831</v>
      </c>
      <c r="Q75" s="194"/>
      <c r="R75" s="988"/>
      <c r="S75" s="989"/>
      <c r="T75" s="989"/>
      <c r="U75" s="989"/>
      <c r="V75" s="989"/>
      <c r="W75" s="989"/>
      <c r="X75" s="989"/>
      <c r="Y75" s="989"/>
      <c r="Z75" s="1597"/>
    </row>
    <row r="76" spans="1:26" ht="17.649999999999999" customHeight="1" outlineLevel="1" x14ac:dyDescent="0.25">
      <c r="A76" s="47"/>
      <c r="B76" s="1520" t="s">
        <v>612</v>
      </c>
      <c r="C76" s="1483" t="s">
        <v>923</v>
      </c>
      <c r="D76" s="2086">
        <v>1.0780000000000001</v>
      </c>
      <c r="E76" s="194"/>
      <c r="F76" s="1465" t="s">
        <v>336</v>
      </c>
      <c r="G76" s="275">
        <f>IF(K78&lt;&gt;0,(G53*K52+G56*K55+G59*K58+G62*K61+G65*K64+G68*K67+G71*K70+G74*K73)/K78,0)</f>
        <v>0.31091291974253532</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customHeight="1" outlineLevel="1" x14ac:dyDescent="0.25">
      <c r="A77" s="34"/>
      <c r="B77" s="1520" t="s">
        <v>613</v>
      </c>
      <c r="C77" s="1483" t="s">
        <v>923</v>
      </c>
      <c r="D77" s="2086">
        <v>7.26</v>
      </c>
      <c r="E77" s="194"/>
      <c r="F77" s="1465" t="s">
        <v>593</v>
      </c>
      <c r="G77" s="263">
        <f>G54+G57+G60+G63+G66+G69+G72</f>
        <v>97441.489750590597</v>
      </c>
      <c r="H77" s="1561"/>
      <c r="I77" s="864"/>
      <c r="J77" s="1552" t="s">
        <v>337</v>
      </c>
      <c r="K77" s="279">
        <f>K54+K57+K60+K63+K66+K69+K72</f>
        <v>5.2491252333602958</v>
      </c>
      <c r="L77" s="1521" t="s">
        <v>338</v>
      </c>
      <c r="M77" s="281"/>
      <c r="N77" s="1520"/>
      <c r="O77" s="1481"/>
      <c r="P77" s="1538"/>
      <c r="Q77" s="194"/>
      <c r="R77" s="988"/>
      <c r="S77" s="989"/>
      <c r="T77" s="989"/>
      <c r="U77" s="989"/>
      <c r="V77" s="989"/>
      <c r="W77" s="989"/>
      <c r="X77" s="989"/>
      <c r="Y77" s="989"/>
      <c r="Z77" s="1597"/>
    </row>
    <row r="78" spans="1:26" ht="17.649999999999999" customHeight="1" outlineLevel="1" thickBot="1" x14ac:dyDescent="0.3">
      <c r="A78" s="34"/>
      <c r="B78" s="2082" t="s">
        <v>1118</v>
      </c>
      <c r="C78" s="869" t="s">
        <v>1117</v>
      </c>
      <c r="D78" s="2087">
        <v>2.2000000000000002</v>
      </c>
      <c r="E78" s="194"/>
      <c r="F78" s="2279" t="s">
        <v>615</v>
      </c>
      <c r="G78" s="2280"/>
      <c r="H78" s="1541">
        <f>'R-Resumo Bal. Massa'!D16*312</f>
        <v>191880.00000000003</v>
      </c>
      <c r="I78" s="679"/>
      <c r="J78" s="1539" t="s">
        <v>339</v>
      </c>
      <c r="K78" s="1540">
        <f>K52+K55+K58+K61+K64+K67+K70+K73</f>
        <v>266.80196353725734</v>
      </c>
      <c r="L78" s="1541">
        <f>K78*1000000/H78</f>
        <v>1390.4625992143908</v>
      </c>
      <c r="M78" s="280"/>
      <c r="N78" s="1539" t="s">
        <v>597</v>
      </c>
      <c r="O78" s="1540">
        <f>O52+O55+O58+O61+O64+O67+O70+O73</f>
        <v>34.098535290019989</v>
      </c>
      <c r="P78" s="1541">
        <f>O78*1000000/H78</f>
        <v>177.70760522211791</v>
      </c>
      <c r="Q78" s="194"/>
      <c r="R78" s="988"/>
      <c r="S78" s="989"/>
      <c r="T78" s="989"/>
      <c r="U78" s="989"/>
      <c r="V78" s="989"/>
      <c r="W78" s="989"/>
      <c r="X78" s="989"/>
      <c r="Y78" s="989"/>
      <c r="Z78" s="1597"/>
    </row>
    <row r="79" spans="1:26" ht="15"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Top="1" thickBot="1" x14ac:dyDescent="0.3">
      <c r="A80" s="41"/>
      <c r="B80" s="148"/>
      <c r="C80" s="261"/>
      <c r="D80" s="261"/>
      <c r="E80" s="725"/>
      <c r="Q80" s="41"/>
      <c r="R80" s="1004"/>
      <c r="S80" s="1005"/>
      <c r="T80" s="1005"/>
      <c r="U80" s="1005"/>
      <c r="V80" s="1005"/>
      <c r="W80" s="1005"/>
      <c r="X80" s="1005"/>
      <c r="Y80" s="1005"/>
      <c r="Z80" s="1603"/>
    </row>
    <row r="81" spans="1:26" ht="17.649999999999999" customHeight="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customHeight="1" outlineLevel="1" x14ac:dyDescent="0.25">
      <c r="A82" s="36"/>
      <c r="B82" s="1520" t="s">
        <v>616</v>
      </c>
      <c r="C82" s="516" t="s">
        <v>342</v>
      </c>
      <c r="D82" s="1571">
        <v>498</v>
      </c>
      <c r="E82" s="504"/>
      <c r="F82" s="1520" t="s">
        <v>717</v>
      </c>
      <c r="G82" s="1482" t="s">
        <v>292</v>
      </c>
      <c r="H82" s="1543">
        <f>((L36)*D101+(L37)*D102+(L38)*D103+(L39)*D104+(L40+L42)*D105+(L41+L43)*D106)/1000000</f>
        <v>9.8228703056220112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95.035874859564188</v>
      </c>
      <c r="Q82" s="504"/>
      <c r="R82" s="1006"/>
      <c r="S82" s="989"/>
      <c r="T82" s="989"/>
      <c r="U82" s="989"/>
      <c r="V82" s="989"/>
      <c r="W82" s="989"/>
      <c r="X82" s="989"/>
      <c r="Y82" s="989"/>
      <c r="Z82" s="1597"/>
    </row>
    <row r="83" spans="1:26" ht="17.649999999999999" customHeight="1" outlineLevel="1" x14ac:dyDescent="0.25">
      <c r="A83" s="36"/>
      <c r="B83" s="1520" t="s">
        <v>617</v>
      </c>
      <c r="C83" s="516" t="s">
        <v>342</v>
      </c>
      <c r="D83" s="1571">
        <v>0</v>
      </c>
      <c r="E83" s="504"/>
      <c r="F83" s="1520" t="s">
        <v>620</v>
      </c>
      <c r="G83" s="1482" t="s">
        <v>292</v>
      </c>
      <c r="H83" s="1543">
        <f>((L44+L45)*D112+(L46+L47)*D111)/1000000</f>
        <v>3.7352599425518758</v>
      </c>
      <c r="I83" s="151"/>
      <c r="J83" s="1520" t="s">
        <v>626</v>
      </c>
      <c r="K83" s="1482" t="s">
        <v>292</v>
      </c>
      <c r="L83" s="1543">
        <f>D83*D42/1000000</f>
        <v>0</v>
      </c>
      <c r="M83" s="504"/>
      <c r="N83" s="1520" t="s">
        <v>988</v>
      </c>
      <c r="O83" s="516" t="s">
        <v>344</v>
      </c>
      <c r="P83" s="1581">
        <f>IF(O67&lt;&gt;0,O67*1000000/(H37+H38),0)</f>
        <v>63.96735443386109</v>
      </c>
      <c r="Q83" s="504"/>
      <c r="R83" s="1006"/>
      <c r="S83" s="989"/>
      <c r="T83" s="989"/>
      <c r="U83" s="989"/>
      <c r="V83" s="989"/>
      <c r="W83" s="989"/>
      <c r="X83" s="989"/>
      <c r="Y83" s="989"/>
      <c r="Z83" s="1597"/>
    </row>
    <row r="84" spans="1:26" ht="17.649999999999999"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8.2124640000000007</v>
      </c>
      <c r="M84" s="504"/>
      <c r="N84" s="1520" t="s">
        <v>719</v>
      </c>
      <c r="O84" s="516" t="s">
        <v>345</v>
      </c>
      <c r="P84" s="1581">
        <f>IF(O52&lt;&gt;0,O52*1000000/(SUM(P36:P41)),0)</f>
        <v>0</v>
      </c>
      <c r="Q84" s="504"/>
      <c r="R84" s="1006"/>
      <c r="S84" s="989"/>
      <c r="T84" s="989"/>
      <c r="U84" s="989"/>
      <c r="V84" s="989"/>
      <c r="W84" s="989"/>
      <c r="X84" s="989"/>
      <c r="Y84" s="989"/>
      <c r="Z84" s="1597"/>
    </row>
    <row r="85" spans="1:26" ht="17.649999999999999"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861.49163664835316</v>
      </c>
      <c r="Q85" s="504"/>
      <c r="R85" s="1006"/>
      <c r="S85" s="989"/>
      <c r="T85" s="989"/>
      <c r="U85" s="989"/>
      <c r="V85" s="989"/>
      <c r="W85" s="989"/>
      <c r="X85" s="989"/>
      <c r="Y85" s="989"/>
      <c r="Z85" s="1597"/>
    </row>
    <row r="86" spans="1:26" ht="17.649999999999999" customHeight="1" outlineLevel="1" x14ac:dyDescent="0.25">
      <c r="A86" s="36"/>
      <c r="B86" s="1520"/>
      <c r="C86" s="1722"/>
      <c r="D86" s="1572"/>
      <c r="E86" s="504"/>
      <c r="F86" s="1520" t="s">
        <v>622</v>
      </c>
      <c r="G86" s="1482" t="s">
        <v>292</v>
      </c>
      <c r="H86" s="1543">
        <f>P42*D114/1000000</f>
        <v>5.7010931326544094</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649999999999999" customHeight="1" outlineLevel="1" x14ac:dyDescent="0.25">
      <c r="A88" s="36"/>
      <c r="B88" s="1520" t="s">
        <v>940</v>
      </c>
      <c r="C88" s="1722" t="s">
        <v>342</v>
      </c>
      <c r="D88" s="1567">
        <v>50</v>
      </c>
      <c r="E88" s="504"/>
      <c r="F88" s="1520" t="s">
        <v>820</v>
      </c>
      <c r="G88" s="1482" t="s">
        <v>292</v>
      </c>
      <c r="H88" s="1543">
        <f>P45*D117/1000000</f>
        <v>4.2758198494908068</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customHeight="1" outlineLevel="1" thickTop="1" x14ac:dyDescent="0.25">
      <c r="A91" s="36"/>
      <c r="B91" s="1520"/>
      <c r="C91" s="1722"/>
      <c r="D91" s="1572"/>
      <c r="E91" s="504"/>
      <c r="F91" s="1555" t="s">
        <v>826</v>
      </c>
      <c r="G91" s="266" t="s">
        <v>292</v>
      </c>
      <c r="H91" s="1546">
        <f>SUM(H82:H89)</f>
        <v>23.535043230319104</v>
      </c>
      <c r="I91" s="269"/>
      <c r="J91" s="1545" t="s">
        <v>561</v>
      </c>
      <c r="K91" s="266" t="s">
        <v>292</v>
      </c>
      <c r="L91" s="1546">
        <f>SUM(L82:L85)</f>
        <v>8.2124640000000007</v>
      </c>
      <c r="M91" s="504"/>
      <c r="N91" s="269"/>
      <c r="O91" s="504"/>
      <c r="P91" s="504"/>
      <c r="Q91" s="504"/>
      <c r="R91" s="1006"/>
      <c r="S91" s="989"/>
      <c r="T91" s="989"/>
      <c r="U91" s="989"/>
      <c r="V91" s="989"/>
      <c r="W91" s="989"/>
      <c r="X91" s="989"/>
      <c r="Y91" s="989"/>
      <c r="Z91" s="1597"/>
    </row>
    <row r="92" spans="1:26" ht="17.649999999999999" customHeight="1" outlineLevel="1" x14ac:dyDescent="0.25">
      <c r="A92" s="36"/>
      <c r="B92" s="1520"/>
      <c r="C92" s="1722"/>
      <c r="D92" s="1572"/>
      <c r="E92" s="504"/>
      <c r="F92" s="1505" t="s">
        <v>347</v>
      </c>
      <c r="G92" s="1482" t="s">
        <v>342</v>
      </c>
      <c r="H92" s="1531">
        <f>H91*1000000/D40</f>
        <v>122.6550095388738</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customHeight="1" outlineLevel="1" thickBot="1" x14ac:dyDescent="0.3">
      <c r="A93" s="36"/>
      <c r="B93" s="1522"/>
      <c r="C93" s="1508"/>
      <c r="D93" s="2000"/>
      <c r="E93" s="504"/>
      <c r="F93" s="1507" t="s">
        <v>822</v>
      </c>
      <c r="G93" s="1508" t="s">
        <v>929</v>
      </c>
      <c r="H93" s="1547">
        <f>H92*($D$7*30/$D$6)</f>
        <v>5.4980598157717901</v>
      </c>
      <c r="I93" s="151"/>
      <c r="J93" s="1522" t="s">
        <v>823</v>
      </c>
      <c r="K93" s="1508" t="s">
        <v>299</v>
      </c>
      <c r="L93" s="1547">
        <f>L92*($D$7*30/$D$6)</f>
        <v>1.9185271029672228</v>
      </c>
      <c r="M93" s="504"/>
      <c r="N93" s="504"/>
      <c r="O93" s="504"/>
      <c r="P93" s="504"/>
      <c r="Q93" s="504"/>
      <c r="R93" s="1006"/>
      <c r="S93" s="989"/>
      <c r="T93" s="989"/>
      <c r="U93" s="989"/>
      <c r="V93" s="989"/>
      <c r="W93" s="989"/>
      <c r="X93" s="989"/>
      <c r="Y93" s="989"/>
      <c r="Z93" s="1597"/>
    </row>
    <row r="94" spans="1:26" s="862" customFormat="1" ht="19.899999999999999"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customHeight="1" outlineLevel="1" thickTop="1" thickBot="1" x14ac:dyDescent="0.3">
      <c r="A95" s="41"/>
      <c r="B95" s="2272" t="s">
        <v>886</v>
      </c>
      <c r="C95" s="2273"/>
      <c r="D95" s="2273"/>
      <c r="E95" s="2273"/>
      <c r="F95" s="2273"/>
      <c r="G95" s="2273"/>
      <c r="H95" s="2273"/>
      <c r="I95" s="2273"/>
      <c r="J95" s="2273"/>
      <c r="K95" s="2273"/>
      <c r="L95" s="2274"/>
      <c r="M95" s="41"/>
      <c r="N95" s="41"/>
      <c r="O95" s="41"/>
      <c r="P95" s="41"/>
      <c r="Q95" s="41"/>
      <c r="R95" s="2088"/>
      <c r="S95" s="2089"/>
      <c r="T95" s="2089"/>
      <c r="U95" s="2089"/>
      <c r="V95" s="2089"/>
      <c r="W95" s="2089"/>
      <c r="X95" s="2089"/>
      <c r="Y95" s="2089"/>
      <c r="Z95" s="2090"/>
    </row>
    <row r="96" spans="1:26" s="1717" customFormat="1" ht="10.15"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customHeight="1" outlineLevel="1" x14ac:dyDescent="0.25">
      <c r="A98" s="36"/>
      <c r="B98" s="1465" t="s">
        <v>1018</v>
      </c>
      <c r="C98" s="265" t="s">
        <v>308</v>
      </c>
      <c r="D98" s="1529" t="s">
        <v>6</v>
      </c>
      <c r="E98" s="504"/>
      <c r="F98" s="1465" t="s">
        <v>624</v>
      </c>
      <c r="G98" s="226" t="s">
        <v>292</v>
      </c>
      <c r="H98" s="1573">
        <f>O78+H9</f>
        <v>37.813248142519988</v>
      </c>
      <c r="I98" s="151"/>
      <c r="J98" s="1465" t="s">
        <v>632</v>
      </c>
      <c r="K98" s="226" t="s">
        <v>292</v>
      </c>
      <c r="L98" s="1573">
        <f>H98+L91</f>
        <v>46.025712142519993</v>
      </c>
      <c r="M98" s="504"/>
      <c r="N98" s="504"/>
      <c r="O98" s="504"/>
      <c r="P98" s="504"/>
      <c r="Q98" s="504"/>
      <c r="R98" s="1006"/>
      <c r="S98" s="989"/>
      <c r="T98" s="989"/>
      <c r="U98" s="989"/>
      <c r="V98" s="989"/>
      <c r="W98" s="989"/>
      <c r="X98" s="989"/>
      <c r="Y98" s="989"/>
      <c r="Z98" s="1597"/>
    </row>
    <row r="99" spans="1:26" ht="17.649999999999999" customHeight="1" outlineLevel="1" thickBot="1" x14ac:dyDescent="0.3">
      <c r="A99" s="36"/>
      <c r="B99" s="1520" t="s">
        <v>1019</v>
      </c>
      <c r="C99" s="1722" t="s">
        <v>195</v>
      </c>
      <c r="D99" s="1781">
        <v>1</v>
      </c>
      <c r="E99" s="504"/>
      <c r="F99" s="1520" t="s">
        <v>624</v>
      </c>
      <c r="G99" s="1482" t="s">
        <v>342</v>
      </c>
      <c r="H99" s="1579">
        <f>H98*1000000/D40</f>
        <v>197.06716772211792</v>
      </c>
      <c r="I99" s="151"/>
      <c r="J99" s="1520" t="s">
        <v>633</v>
      </c>
      <c r="K99" s="1482" t="s">
        <v>342</v>
      </c>
      <c r="L99" s="1579">
        <f>L98*1000000/D40</f>
        <v>239.86716772211796</v>
      </c>
      <c r="M99" s="504"/>
      <c r="N99" s="504"/>
      <c r="O99" s="504"/>
      <c r="P99" s="504"/>
      <c r="Q99" s="504"/>
      <c r="R99" s="1006"/>
      <c r="S99" s="989"/>
      <c r="T99" s="989"/>
      <c r="U99" s="989"/>
      <c r="V99" s="989"/>
      <c r="W99" s="989"/>
      <c r="X99" s="989"/>
      <c r="Y99" s="989"/>
      <c r="Z99" s="1597"/>
    </row>
    <row r="100" spans="1:26" ht="17.649999999999999" customHeight="1" outlineLevel="1" thickTop="1" thickBot="1" x14ac:dyDescent="0.3">
      <c r="A100" s="36"/>
      <c r="B100" s="1520" t="s">
        <v>1059</v>
      </c>
      <c r="C100" s="1728" t="s">
        <v>195</v>
      </c>
      <c r="D100" s="1530">
        <v>0.25</v>
      </c>
      <c r="E100" s="504"/>
      <c r="F100" s="1522" t="s">
        <v>824</v>
      </c>
      <c r="G100" s="1508" t="s">
        <v>929</v>
      </c>
      <c r="H100" s="1580">
        <f>H99*($D$7*30/$D$6)</f>
        <v>8.8336145415857636</v>
      </c>
      <c r="I100" s="151"/>
      <c r="J100" s="1522" t="s">
        <v>825</v>
      </c>
      <c r="K100" s="1508" t="s">
        <v>299</v>
      </c>
      <c r="L100" s="1580">
        <f>L99*($D$7*30/$D$6)</f>
        <v>10.752141644552989</v>
      </c>
      <c r="M100" s="504"/>
      <c r="N100" s="504"/>
      <c r="O100" s="504"/>
      <c r="P100" s="504"/>
      <c r="Q100" s="504"/>
      <c r="R100" s="1006"/>
      <c r="S100" s="989"/>
      <c r="T100" s="989"/>
      <c r="U100" s="989"/>
      <c r="V100" s="989"/>
      <c r="W100" s="989"/>
      <c r="X100" s="989"/>
      <c r="Y100" s="989"/>
      <c r="Z100" s="1597"/>
    </row>
    <row r="101" spans="1:26" ht="17.649999999999999"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customHeight="1" outlineLevel="1" x14ac:dyDescent="0.25">
      <c r="B117" s="1520" t="s">
        <v>1057</v>
      </c>
      <c r="C117" s="1482" t="s">
        <v>346</v>
      </c>
      <c r="D117" s="1565">
        <v>1.5</v>
      </c>
    </row>
    <row r="118" spans="1:26" ht="15" customHeight="1" outlineLevel="1" thickBot="1" x14ac:dyDescent="0.3">
      <c r="B118" s="1522" t="s">
        <v>1058</v>
      </c>
      <c r="C118" s="1508" t="s">
        <v>346</v>
      </c>
      <c r="D118" s="1570">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286" t="s">
        <v>971</v>
      </c>
      <c r="C2" s="2286"/>
      <c r="D2" s="2286"/>
      <c r="E2" s="2286"/>
      <c r="F2" s="2286"/>
      <c r="G2" s="2286"/>
      <c r="H2" s="2286"/>
      <c r="I2" s="2286"/>
      <c r="J2" s="2286"/>
      <c r="K2" s="2286"/>
      <c r="L2" s="2286"/>
      <c r="M2" s="2286"/>
      <c r="N2" s="458"/>
      <c r="O2" s="2285" t="s">
        <v>644</v>
      </c>
      <c r="P2" s="2285"/>
      <c r="Q2" s="2285"/>
      <c r="R2" s="2285"/>
      <c r="S2" s="2285"/>
      <c r="T2" s="2285"/>
      <c r="U2" s="2285"/>
      <c r="V2" s="2285"/>
      <c r="W2" s="2285"/>
      <c r="X2" s="2285"/>
      <c r="Y2" s="2285"/>
      <c r="Z2" s="2285"/>
      <c r="AA2" s="2285"/>
      <c r="AB2" s="473"/>
    </row>
    <row r="3" spans="1:28" s="905" customFormat="1" ht="17.649999999999999" customHeight="1" x14ac:dyDescent="0.25">
      <c r="A3" s="903"/>
      <c r="B3" s="2286"/>
      <c r="C3" s="2286"/>
      <c r="D3" s="2286"/>
      <c r="E3" s="2286"/>
      <c r="F3" s="2286"/>
      <c r="G3" s="2286"/>
      <c r="H3" s="2286"/>
      <c r="I3" s="2286"/>
      <c r="J3" s="2286"/>
      <c r="K3" s="2286"/>
      <c r="L3" s="2286"/>
      <c r="M3" s="2286"/>
      <c r="N3" s="904"/>
      <c r="O3" s="2285"/>
      <c r="P3" s="2285"/>
      <c r="Q3" s="2285"/>
      <c r="R3" s="2285"/>
      <c r="S3" s="2285"/>
      <c r="T3" s="2285"/>
      <c r="U3" s="2285"/>
      <c r="V3" s="2285"/>
      <c r="W3" s="2285"/>
      <c r="X3" s="2285"/>
      <c r="Y3" s="2285"/>
      <c r="Z3" s="2285"/>
      <c r="AA3" s="2285"/>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thickTop="1" x14ac:dyDescent="0.25">
      <c r="A5" s="458"/>
      <c r="B5" s="1501" t="s">
        <v>951</v>
      </c>
      <c r="C5" s="1502" t="s">
        <v>348</v>
      </c>
      <c r="D5" s="1503" t="s">
        <v>289</v>
      </c>
      <c r="E5" s="458"/>
      <c r="F5" s="1514" t="s">
        <v>952</v>
      </c>
      <c r="G5" s="1502" t="s">
        <v>349</v>
      </c>
      <c r="H5" s="1503" t="s">
        <v>350</v>
      </c>
      <c r="I5" s="458"/>
      <c r="J5" s="2340" t="s">
        <v>351</v>
      </c>
      <c r="K5" s="2338" t="s">
        <v>352</v>
      </c>
      <c r="L5" s="458"/>
      <c r="M5" s="459"/>
      <c r="N5" s="458"/>
      <c r="O5" s="2293" t="s">
        <v>877</v>
      </c>
      <c r="P5" s="458"/>
      <c r="Q5" s="2293" t="s">
        <v>878</v>
      </c>
      <c r="R5" s="458"/>
      <c r="S5" s="2293" t="s">
        <v>879</v>
      </c>
      <c r="T5" s="458"/>
      <c r="U5" s="2293" t="s">
        <v>880</v>
      </c>
      <c r="V5" s="458"/>
      <c r="W5" s="2293" t="s">
        <v>881</v>
      </c>
      <c r="X5" s="458"/>
      <c r="Y5" s="2293" t="s">
        <v>887</v>
      </c>
      <c r="Z5" s="458"/>
      <c r="AA5" s="458"/>
      <c r="AB5" s="473"/>
    </row>
    <row r="6" spans="1:28" s="262" customFormat="1" ht="19.899999999999999" customHeight="1" outlineLevel="1" x14ac:dyDescent="0.25">
      <c r="A6" s="458"/>
      <c r="B6" s="1685" t="s">
        <v>645</v>
      </c>
      <c r="C6" s="1646" t="s">
        <v>292</v>
      </c>
      <c r="D6" s="1661">
        <f>D7*D8/1000000</f>
        <v>55.313857040042535</v>
      </c>
      <c r="E6" s="463"/>
      <c r="F6" s="1681" t="s">
        <v>973</v>
      </c>
      <c r="G6" s="1633">
        <f>J7*(1-K7)</f>
        <v>109759.20000000001</v>
      </c>
      <c r="H6" s="1675">
        <f>G6/$G$11</f>
        <v>0.66654521075030615</v>
      </c>
      <c r="I6" s="458"/>
      <c r="J6" s="2341"/>
      <c r="K6" s="2339"/>
      <c r="L6" s="458"/>
      <c r="M6" s="468"/>
      <c r="N6" s="460"/>
      <c r="O6" s="2294"/>
      <c r="P6" s="458"/>
      <c r="Q6" s="2294"/>
      <c r="R6" s="458"/>
      <c r="S6" s="2294"/>
      <c r="T6" s="458"/>
      <c r="U6" s="2294"/>
      <c r="V6" s="458"/>
      <c r="W6" s="2294"/>
      <c r="X6" s="458"/>
      <c r="Y6" s="2294"/>
      <c r="Z6" s="458"/>
      <c r="AA6" s="458"/>
      <c r="AB6" s="473"/>
    </row>
    <row r="7" spans="1:28" s="262" customFormat="1" ht="19.899999999999999" customHeight="1" outlineLevel="1" x14ac:dyDescent="0.25">
      <c r="A7" s="458"/>
      <c r="B7" s="1681" t="s">
        <v>646</v>
      </c>
      <c r="C7" s="1644" t="s">
        <v>342</v>
      </c>
      <c r="D7" s="1662">
        <f>'R&amp;C-Painel de Controle'!H33</f>
        <v>288.27317615198319</v>
      </c>
      <c r="E7" s="463"/>
      <c r="F7" s="1681" t="s">
        <v>974</v>
      </c>
      <c r="G7" s="1633">
        <f>J7*K7</f>
        <v>27439.800000000003</v>
      </c>
      <c r="H7" s="1675">
        <f>G7/$G$11</f>
        <v>0.16663630268757654</v>
      </c>
      <c r="I7" s="458"/>
      <c r="J7" s="2297">
        <f>'R&amp;C-Painel de Controle'!D6/3</f>
        <v>137199</v>
      </c>
      <c r="K7" s="2295">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customHeight="1" outlineLevel="1" thickBot="1" x14ac:dyDescent="0.3">
      <c r="A8" s="458"/>
      <c r="B8" s="1681" t="s">
        <v>647</v>
      </c>
      <c r="C8" s="1644" t="s">
        <v>298</v>
      </c>
      <c r="D8" s="1662">
        <f>'R&amp;C-Painel de Controle'!D8</f>
        <v>191880</v>
      </c>
      <c r="E8" s="463"/>
      <c r="F8" s="1681" t="s">
        <v>975</v>
      </c>
      <c r="G8" s="1676">
        <f>J7/5</f>
        <v>27439.8</v>
      </c>
      <c r="H8" s="1675">
        <f>G8/$G$11</f>
        <v>0.16663630268757654</v>
      </c>
      <c r="I8" s="458"/>
      <c r="J8" s="2298"/>
      <c r="K8" s="2296"/>
      <c r="L8" s="458"/>
      <c r="M8" s="468"/>
      <c r="N8" s="460"/>
      <c r="O8" s="1500">
        <f>(O12-O10)/O10</f>
        <v>1.2145591636766743E-6</v>
      </c>
      <c r="P8" s="460"/>
      <c r="Q8" s="1500">
        <f>(Q12-Q10)/Q10</f>
        <v>-5.8327040398663751E-3</v>
      </c>
      <c r="R8" s="460"/>
      <c r="S8" s="1500">
        <f>(S12-S10)/S10</f>
        <v>-5.8327040398664905E-3</v>
      </c>
      <c r="T8" s="458"/>
      <c r="U8" s="1500">
        <f>(U12-U10)/U10</f>
        <v>2.2914268472023186E-2</v>
      </c>
      <c r="V8" s="458"/>
      <c r="W8" s="1500">
        <f>(W12-W10)/W10</f>
        <v>2.2914268472023186E-2</v>
      </c>
      <c r="X8" s="458"/>
      <c r="Y8" s="1628" t="s">
        <v>338</v>
      </c>
      <c r="Z8" s="458"/>
      <c r="AA8" s="458"/>
      <c r="AB8" s="473"/>
    </row>
    <row r="9" spans="1:28" s="262" customFormat="1" ht="19.899999999999999"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60.126854025739235</v>
      </c>
      <c r="R10" s="460"/>
      <c r="S10" s="265">
        <f>D8</f>
        <v>191880</v>
      </c>
      <c r="T10" s="458"/>
      <c r="U10" s="265">
        <f>D10*(1+D24)</f>
        <v>22967112.600000001</v>
      </c>
      <c r="V10" s="458"/>
      <c r="W10" s="265">
        <f>D10*(1+D24)</f>
        <v>22967112.600000001</v>
      </c>
      <c r="X10" s="458"/>
      <c r="Y10" s="1499">
        <f>Y7</f>
        <v>0.05</v>
      </c>
      <c r="Z10" s="458"/>
      <c r="AA10" s="458"/>
      <c r="AB10" s="473"/>
    </row>
    <row r="11" spans="1:28" s="262" customFormat="1" ht="19.899999999999999" customHeight="1" outlineLevel="1" thickBot="1" x14ac:dyDescent="0.3">
      <c r="A11" s="458"/>
      <c r="B11" s="1683" t="s">
        <v>721</v>
      </c>
      <c r="C11" s="1664" t="s">
        <v>357</v>
      </c>
      <c r="D11" s="1665">
        <f>D10/D8</f>
        <v>119.6951876172608</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customHeight="1" outlineLevel="1" thickTop="1" thickBot="1" x14ac:dyDescent="0.3">
      <c r="A12" s="458"/>
      <c r="B12" s="1686" t="s">
        <v>946</v>
      </c>
      <c r="C12" s="1666" t="s">
        <v>327</v>
      </c>
      <c r="D12" s="1667">
        <f>D7/D11</f>
        <v>2.4083940373089185</v>
      </c>
      <c r="E12" s="458"/>
      <c r="F12" s="458"/>
      <c r="G12" s="458"/>
      <c r="H12" s="459"/>
      <c r="I12" s="458"/>
      <c r="J12" s="459"/>
      <c r="K12" s="459"/>
      <c r="L12" s="459"/>
      <c r="M12" s="459"/>
      <c r="N12" s="458"/>
      <c r="O12" s="265">
        <f>O33</f>
        <v>164669</v>
      </c>
      <c r="P12" s="460"/>
      <c r="Q12" s="276">
        <f>Q33</f>
        <v>59.776151881358849</v>
      </c>
      <c r="R12" s="460"/>
      <c r="S12" s="265">
        <f>S33*(1+$D$17+$D$18+$D$19)</f>
        <v>190760.82074883042</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customHeight="1" outlineLevel="1" x14ac:dyDescent="0.25">
      <c r="A15" s="458"/>
      <c r="B15" s="1687" t="s">
        <v>649</v>
      </c>
      <c r="C15" s="1646" t="s">
        <v>195</v>
      </c>
      <c r="D15" s="1668">
        <v>1</v>
      </c>
      <c r="E15" s="458"/>
      <c r="F15" s="2287" t="s">
        <v>978</v>
      </c>
      <c r="G15" s="2289" t="s">
        <v>195</v>
      </c>
      <c r="H15" s="2291">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customHeight="1" outlineLevel="1" thickBot="1" x14ac:dyDescent="0.3">
      <c r="A16" s="458"/>
      <c r="B16" s="1688" t="s">
        <v>981</v>
      </c>
      <c r="C16" s="1644" t="s">
        <v>292</v>
      </c>
      <c r="D16" s="1669">
        <f>D10*D12*(1-D15)/1000000</f>
        <v>0</v>
      </c>
      <c r="E16" s="458"/>
      <c r="F16" s="2288"/>
      <c r="G16" s="2290"/>
      <c r="H16" s="2292"/>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customHeight="1" outlineLevel="1" x14ac:dyDescent="0.25">
      <c r="A20" s="458"/>
      <c r="B20" s="1687" t="s">
        <v>948</v>
      </c>
      <c r="C20" s="1646" t="s">
        <v>292</v>
      </c>
      <c r="D20" s="1673">
        <f>D10*D12*(1+D17)*(1+D18)*(1+D19)*D15/1000000</f>
        <v>60.126854025739235</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customHeight="1" outlineLevel="1" thickBot="1" x14ac:dyDescent="0.3">
      <c r="A21" s="458"/>
      <c r="B21" s="1684" t="s">
        <v>947</v>
      </c>
      <c r="C21" s="1666" t="s">
        <v>327</v>
      </c>
      <c r="D21" s="1667">
        <f>D20*1000000/D10</f>
        <v>2.6179544234802608</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customHeight="1" outlineLevel="1" thickTop="1" x14ac:dyDescent="0.25">
      <c r="A23" s="458"/>
      <c r="B23" s="1509" t="s">
        <v>950</v>
      </c>
      <c r="C23" s="1510" t="s">
        <v>348</v>
      </c>
      <c r="D23" s="1511" t="s">
        <v>289</v>
      </c>
      <c r="E23" s="458"/>
      <c r="F23" s="2329" t="s">
        <v>941</v>
      </c>
      <c r="G23" s="2330"/>
      <c r="H23" s="2331"/>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customHeight="1" outlineLevel="1" x14ac:dyDescent="0.25">
      <c r="A24" s="458"/>
      <c r="B24" s="1687" t="s">
        <v>949</v>
      </c>
      <c r="C24" s="1646" t="s">
        <v>195</v>
      </c>
      <c r="D24" s="1674">
        <v>0</v>
      </c>
      <c r="E24" s="458"/>
      <c r="F24" s="1683" t="s">
        <v>979</v>
      </c>
      <c r="G24" s="1644" t="s">
        <v>358</v>
      </c>
      <c r="H24" s="1679">
        <f>D26*(D10)/G11</f>
        <v>365.13810767880278</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customHeight="1" outlineLevel="1" thickBot="1" x14ac:dyDescent="0.3">
      <c r="A25" s="458"/>
      <c r="B25" s="1683" t="s">
        <v>982</v>
      </c>
      <c r="C25" s="1644" t="s">
        <v>292</v>
      </c>
      <c r="D25" s="1669">
        <f>D20</f>
        <v>60.126854025739235</v>
      </c>
      <c r="E25" s="458"/>
      <c r="F25" s="1684" t="s">
        <v>980</v>
      </c>
      <c r="G25" s="1666" t="s">
        <v>359</v>
      </c>
      <c r="H25" s="1680">
        <f>H24/12</f>
        <v>30.428175639900232</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customHeight="1" outlineLevel="1" thickTop="1" thickBot="1" x14ac:dyDescent="0.3">
      <c r="A26" s="458"/>
      <c r="B26" s="1684" t="s">
        <v>983</v>
      </c>
      <c r="C26" s="1666" t="s">
        <v>327</v>
      </c>
      <c r="D26" s="1667">
        <f>(D25*1000000/(D8*D11))*(1-D24)</f>
        <v>2.6179544234802608</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thickTop="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20" t="s">
        <v>964</v>
      </c>
      <c r="C29" s="2321"/>
      <c r="D29" s="2321"/>
      <c r="E29" s="2322"/>
      <c r="F29" s="458"/>
      <c r="G29" s="458"/>
      <c r="H29" s="459"/>
      <c r="I29" s="458"/>
      <c r="J29" s="459"/>
      <c r="K29" s="2301" t="s">
        <v>360</v>
      </c>
      <c r="L29" s="2302"/>
      <c r="M29" s="2303"/>
      <c r="N29" s="458"/>
      <c r="O29" s="2325" t="s">
        <v>763</v>
      </c>
      <c r="P29" s="2326"/>
      <c r="Q29" s="2326"/>
      <c r="R29" s="2326"/>
      <c r="S29" s="2326"/>
      <c r="T29" s="2326"/>
      <c r="U29" s="2326"/>
      <c r="V29" s="2326"/>
      <c r="W29" s="2326"/>
      <c r="X29" s="2326"/>
      <c r="Y29" s="2326"/>
      <c r="Z29" s="2326"/>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43" t="s">
        <v>965</v>
      </c>
      <c r="C31" s="2344"/>
      <c r="D31" s="2344"/>
      <c r="E31" s="2344"/>
      <c r="F31" s="2344"/>
      <c r="G31" s="2344"/>
      <c r="H31" s="2344"/>
      <c r="I31" s="2344"/>
      <c r="J31" s="2344"/>
      <c r="K31" s="2344"/>
      <c r="L31" s="1634" t="s">
        <v>361</v>
      </c>
      <c r="M31" s="1634" t="s">
        <v>362</v>
      </c>
      <c r="N31" s="458"/>
      <c r="O31" s="2299" t="s">
        <v>650</v>
      </c>
      <c r="P31" s="458"/>
      <c r="Q31" s="2299" t="s">
        <v>363</v>
      </c>
      <c r="R31" s="458"/>
      <c r="S31" s="2299" t="s">
        <v>651</v>
      </c>
      <c r="T31" s="458"/>
      <c r="U31" s="2299" t="s">
        <v>652</v>
      </c>
      <c r="V31" s="458"/>
      <c r="W31" s="2299" t="s">
        <v>652</v>
      </c>
      <c r="X31" s="458"/>
      <c r="Y31" s="2299" t="s">
        <v>463</v>
      </c>
      <c r="Z31" s="458"/>
      <c r="AA31" s="458"/>
      <c r="AB31" s="473"/>
    </row>
    <row r="32" spans="1:28" s="262" customFormat="1" ht="19.899999999999999" customHeight="1" x14ac:dyDescent="0.25">
      <c r="A32" s="458"/>
      <c r="B32" s="2345"/>
      <c r="C32" s="2344"/>
      <c r="D32" s="2344"/>
      <c r="E32" s="2344"/>
      <c r="F32" s="2344"/>
      <c r="G32" s="2344"/>
      <c r="H32" s="2344"/>
      <c r="I32" s="2344"/>
      <c r="J32" s="2344"/>
      <c r="K32" s="2344"/>
      <c r="L32" s="1635">
        <f>H24</f>
        <v>365.13810767880278</v>
      </c>
      <c r="M32" s="1636">
        <f>H25</f>
        <v>30.428175639900232</v>
      </c>
      <c r="N32" s="461"/>
      <c r="O32" s="2182"/>
      <c r="P32" s="461"/>
      <c r="Q32" s="2182"/>
      <c r="R32" s="461"/>
      <c r="S32" s="2182"/>
      <c r="T32" s="458"/>
      <c r="U32" s="2182"/>
      <c r="V32" s="458"/>
      <c r="W32" s="2182"/>
      <c r="X32" s="458"/>
      <c r="Y32" s="2300"/>
      <c r="Z32" s="458"/>
      <c r="AA32" s="458"/>
      <c r="AB32" s="473"/>
    </row>
    <row r="33" spans="1:28" s="262" customFormat="1" ht="15" customHeight="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59.776151881358849</v>
      </c>
      <c r="R33" s="458"/>
      <c r="S33" s="265">
        <f>12*S34</f>
        <v>175816.42465329994</v>
      </c>
      <c r="T33" s="458" t="s">
        <v>364</v>
      </c>
      <c r="U33" s="265">
        <f>12*U34</f>
        <v>23493387.184143588</v>
      </c>
      <c r="V33" s="458" t="s">
        <v>365</v>
      </c>
      <c r="W33" s="265">
        <f>12*W34</f>
        <v>23493387.184143588</v>
      </c>
      <c r="X33" s="458" t="s">
        <v>365</v>
      </c>
      <c r="Y33" s="2327">
        <v>0.1</v>
      </c>
      <c r="Z33" s="458"/>
      <c r="AA33" s="458"/>
      <c r="AB33" s="473"/>
    </row>
    <row r="34" spans="1:28" s="262" customFormat="1" ht="34.9" customHeight="1" outlineLevel="1" x14ac:dyDescent="0.25">
      <c r="A34" s="458"/>
      <c r="B34" s="2323" t="s">
        <v>366</v>
      </c>
      <c r="C34" s="2324"/>
      <c r="D34" s="2324"/>
      <c r="E34" s="2324"/>
      <c r="F34" s="2324"/>
      <c r="G34" s="2324"/>
      <c r="H34" s="2324"/>
      <c r="I34" s="2324"/>
      <c r="J34" s="2324"/>
      <c r="K34" s="2324"/>
      <c r="L34" s="2324"/>
      <c r="M34" s="2324"/>
      <c r="N34" s="461"/>
      <c r="O34" s="883"/>
      <c r="P34" s="461"/>
      <c r="Q34" s="883"/>
      <c r="R34" s="461"/>
      <c r="S34" s="265">
        <f>S36+S49+S62+S75+S88</f>
        <v>14651.368721108329</v>
      </c>
      <c r="T34" s="458" t="s">
        <v>367</v>
      </c>
      <c r="U34" s="265">
        <f>U36+U49+U62+U75+U88</f>
        <v>1957782.2653452992</v>
      </c>
      <c r="V34" s="458" t="s">
        <v>368</v>
      </c>
      <c r="W34" s="265">
        <f>W36+W49+W62+W75+W88</f>
        <v>1957782.2653452992</v>
      </c>
      <c r="X34" s="458" t="s">
        <v>368</v>
      </c>
      <c r="Y34" s="2328"/>
      <c r="Z34" s="458"/>
      <c r="AA34" s="458"/>
      <c r="AB34" s="473"/>
    </row>
    <row r="35" spans="1:28" s="262" customFormat="1" ht="25.15" customHeight="1" outlineLevel="1" x14ac:dyDescent="0.25">
      <c r="A35" s="458"/>
      <c r="B35" s="2309" t="s">
        <v>369</v>
      </c>
      <c r="C35" s="2316"/>
      <c r="D35" s="2316"/>
      <c r="E35" s="2317"/>
      <c r="F35" s="2316"/>
      <c r="G35" s="2316"/>
      <c r="H35" s="2316"/>
      <c r="I35" s="2317"/>
      <c r="J35" s="2316"/>
      <c r="K35" s="2316"/>
      <c r="L35" s="2316"/>
      <c r="M35" s="2316"/>
      <c r="N35" s="461"/>
      <c r="O35" s="885">
        <f>G9</f>
        <v>25</v>
      </c>
      <c r="P35" s="884"/>
      <c r="Q35" s="888"/>
      <c r="R35" s="461"/>
      <c r="S35" s="883"/>
      <c r="T35" s="458"/>
      <c r="U35" s="892"/>
      <c r="V35" s="458"/>
      <c r="W35" s="892"/>
      <c r="X35" s="458"/>
      <c r="Y35" s="283"/>
      <c r="Z35" s="458"/>
      <c r="AA35" s="458"/>
      <c r="AB35" s="473"/>
    </row>
    <row r="36" spans="1:28" s="262" customFormat="1" ht="36" customHeight="1" outlineLevel="1" x14ac:dyDescent="0.25">
      <c r="A36" s="458"/>
      <c r="B36" s="2309" t="s">
        <v>370</v>
      </c>
      <c r="C36" s="2309" t="s">
        <v>371</v>
      </c>
      <c r="D36" s="2311"/>
      <c r="E36" s="1515"/>
      <c r="F36" s="2332" t="s">
        <v>372</v>
      </c>
      <c r="G36" s="2316"/>
      <c r="H36" s="2333"/>
      <c r="I36" s="881"/>
      <c r="J36" s="2312" t="s">
        <v>970</v>
      </c>
      <c r="K36" s="2313"/>
      <c r="L36" s="2313"/>
      <c r="M36" s="2313"/>
      <c r="N36" s="458"/>
      <c r="O36" s="265">
        <f>O39+O41+O42+O43+O44+O45</f>
        <v>25</v>
      </c>
      <c r="P36" s="467"/>
      <c r="Q36" s="889">
        <f>Q39+Q41+Q42+Q43+Q44+Q45</f>
        <v>710.30772509392091</v>
      </c>
      <c r="R36" s="458"/>
      <c r="S36" s="2314">
        <f>IF(AND(Q36&lt;&gt;0,O36&lt;&gt;0),Q36/(1+$D$17+$D$18+$D$19)/(($D$25*1000000/$D$8)),0)</f>
        <v>2.0891904329588864</v>
      </c>
      <c r="T36" s="2318" t="s">
        <v>373</v>
      </c>
      <c r="U36" s="2314">
        <f>U39+U41+U42+U43+U44+U45</f>
        <v>250.06604084120022</v>
      </c>
      <c r="V36" s="467" t="s">
        <v>374</v>
      </c>
      <c r="W36" s="2314">
        <f>W39*O39+W41*O41+W42*O42+W43*O43+W44*O44+W45*O45</f>
        <v>250.06604084120022</v>
      </c>
      <c r="X36" s="467" t="s">
        <v>374</v>
      </c>
      <c r="Y36" s="865" t="s">
        <v>375</v>
      </c>
      <c r="Z36" s="458"/>
      <c r="AA36" s="458"/>
      <c r="AB36" s="473"/>
    </row>
    <row r="37" spans="1:28" s="262" customFormat="1" ht="24" customHeight="1" outlineLevel="1" x14ac:dyDescent="0.25">
      <c r="A37" s="458"/>
      <c r="B37" s="2310"/>
      <c r="C37" s="1637" t="s">
        <v>376</v>
      </c>
      <c r="D37" s="1638" t="s">
        <v>377</v>
      </c>
      <c r="E37" s="1516"/>
      <c r="F37" s="2334"/>
      <c r="G37" s="2316"/>
      <c r="H37" s="2333"/>
      <c r="I37" s="882"/>
      <c r="J37" s="2335" t="s">
        <v>378</v>
      </c>
      <c r="K37" s="2336"/>
      <c r="L37" s="2337" t="s">
        <v>379</v>
      </c>
      <c r="M37" s="2336"/>
      <c r="N37" s="458"/>
      <c r="O37" s="886" t="s">
        <v>380</v>
      </c>
      <c r="P37" s="467"/>
      <c r="Q37" s="890">
        <v>0.5</v>
      </c>
      <c r="R37" s="458"/>
      <c r="S37" s="2315"/>
      <c r="T37" s="2319"/>
      <c r="U37" s="2315"/>
      <c r="V37" s="467"/>
      <c r="W37" s="2342"/>
      <c r="X37" s="467"/>
      <c r="Y37" s="893">
        <f>$Y$33</f>
        <v>0.1</v>
      </c>
      <c r="Z37" s="458"/>
      <c r="AA37" s="458"/>
      <c r="AB37" s="473"/>
    </row>
    <row r="38" spans="1:28" s="262" customFormat="1" ht="24" customHeight="1" outlineLevel="1" x14ac:dyDescent="0.25">
      <c r="A38" s="458"/>
      <c r="B38" s="2304">
        <v>1</v>
      </c>
      <c r="C38" s="2304">
        <v>1</v>
      </c>
      <c r="D38" s="2307">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customHeight="1" outlineLevel="1" x14ac:dyDescent="0.25">
      <c r="A39" s="458"/>
      <c r="B39" s="2305"/>
      <c r="C39" s="2306"/>
      <c r="D39" s="2308"/>
      <c r="E39" s="882"/>
      <c r="F39" s="1694" t="s">
        <v>338</v>
      </c>
      <c r="G39" s="1695">
        <v>5</v>
      </c>
      <c r="H39" s="1696">
        <v>0.35</v>
      </c>
      <c r="I39" s="1516"/>
      <c r="J39" s="1697">
        <f>$L$32*H39*$B$38*$C$38</f>
        <v>127.79833768758097</v>
      </c>
      <c r="K39" s="1698">
        <f>$M$32*H39*$B$38*$C$38</f>
        <v>10.64986147396508</v>
      </c>
      <c r="L39" s="1697">
        <f>J39*$D$38</f>
        <v>159.74792210947621</v>
      </c>
      <c r="M39" s="1698">
        <f>K39*$D$38</f>
        <v>13.312326842456351</v>
      </c>
      <c r="N39" s="458"/>
      <c r="O39" s="887">
        <v>5</v>
      </c>
      <c r="P39" s="467"/>
      <c r="Q39" s="286">
        <f>O39*$Q$37*M39+O39*(1-$Q$37)*K39</f>
        <v>59.905470791053574</v>
      </c>
      <c r="R39" s="458"/>
      <c r="S39" s="891">
        <f>IF(AND(Q39&lt;&gt;0,O39&lt;&gt;0),Q39/(1+$D$17+$D$18+$D$19)/O39/30/(($D$25*1000000/$D$8))*1000,0)</f>
        <v>1.1746452233503777</v>
      </c>
      <c r="T39" s="467" t="s">
        <v>382</v>
      </c>
      <c r="U39" s="870">
        <f>S39*O39*30*$D$11*(1+$D$24)/1000</f>
        <v>21.089907058896401</v>
      </c>
      <c r="V39" s="467" t="s">
        <v>383</v>
      </c>
      <c r="W39" s="870">
        <f>IF(O39&lt;&gt;0,U39/O39,0)</f>
        <v>4.21798141177928</v>
      </c>
      <c r="X39" s="467" t="s">
        <v>384</v>
      </c>
      <c r="Y39" s="287" t="str">
        <f>IF(O39=0,"-", IF(W39&lt;=(G39*(1+$Y$37)),"OK", "NOK"))</f>
        <v>OK</v>
      </c>
      <c r="Z39" s="897"/>
      <c r="AA39" s="898">
        <f>IF(OR(Y39="OK",Y39="-"),1,0)</f>
        <v>1</v>
      </c>
      <c r="AB39" s="473"/>
    </row>
    <row r="40" spans="1:28" s="262" customFormat="1" ht="24" customHeight="1" outlineLevel="1" x14ac:dyDescent="0.25">
      <c r="A40" s="458"/>
      <c r="B40" s="2305"/>
      <c r="C40" s="2306"/>
      <c r="D40" s="2308"/>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customHeight="1" outlineLevel="1" x14ac:dyDescent="0.25">
      <c r="A41" s="458"/>
      <c r="B41" s="2305"/>
      <c r="C41" s="2306"/>
      <c r="D41" s="2308"/>
      <c r="E41" s="882"/>
      <c r="F41" s="1694">
        <f>G39</f>
        <v>5</v>
      </c>
      <c r="G41" s="1695">
        <v>15</v>
      </c>
      <c r="H41" s="1696">
        <v>0.06</v>
      </c>
      <c r="I41" s="1516"/>
      <c r="J41" s="1697">
        <f>$L$32*(H39+(G41-F41)*H41)*$B$38*$C$38</f>
        <v>346.88120229486265</v>
      </c>
      <c r="K41" s="1698">
        <f>$M$32*(H39+(G41-F41)*H41)*$B$38*$C$38</f>
        <v>28.906766857905218</v>
      </c>
      <c r="L41" s="1697">
        <f t="shared" ref="L41:M45" si="0">J41*$D$38</f>
        <v>433.60150286857834</v>
      </c>
      <c r="M41" s="1698">
        <f t="shared" si="0"/>
        <v>36.133458572381521</v>
      </c>
      <c r="N41" s="458"/>
      <c r="O41" s="887">
        <v>20</v>
      </c>
      <c r="P41" s="467"/>
      <c r="Q41" s="286">
        <f>O41*$Q$37*M41+O41*(1-$Q$37)*K41</f>
        <v>650.40225430286739</v>
      </c>
      <c r="R41" s="458"/>
      <c r="S41" s="891">
        <f>IF(AND(Q41&lt;&gt;0,O41&lt;&gt;0),Q41/(1+$D$17+$D$18+$D$19)/O41/30/(($D$25*1000000/$D$8))*1000,0)</f>
        <v>3.1883227490938828</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customHeight="1" outlineLevel="1" x14ac:dyDescent="0.25">
      <c r="A42" s="458"/>
      <c r="B42" s="2305"/>
      <c r="C42" s="2306"/>
      <c r="D42" s="2308"/>
      <c r="E42" s="882"/>
      <c r="F42" s="1694">
        <f>G41</f>
        <v>15</v>
      </c>
      <c r="G42" s="1695">
        <v>25</v>
      </c>
      <c r="H42" s="1696">
        <v>0.05</v>
      </c>
      <c r="I42" s="1516"/>
      <c r="J42" s="1697">
        <f>$L$32*(H39+(G41-F41)*H41+(G42-F42)*H42)*$B$38*$C$38</f>
        <v>529.45025613426401</v>
      </c>
      <c r="K42" s="1698">
        <f>$M$32*(H39+(G41-F41)*H41+(G42-F42)*H42)*$B$38*$C$38</f>
        <v>44.120854677855334</v>
      </c>
      <c r="L42" s="1697">
        <f t="shared" si="0"/>
        <v>661.81282016783007</v>
      </c>
      <c r="M42" s="1698">
        <f t="shared" si="0"/>
        <v>55.151068347319168</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customHeight="1" outlineLevel="1" x14ac:dyDescent="0.25">
      <c r="A43" s="458"/>
      <c r="B43" s="2305"/>
      <c r="C43" s="2306"/>
      <c r="D43" s="2308"/>
      <c r="E43" s="882"/>
      <c r="F43" s="1694">
        <f>G42</f>
        <v>25</v>
      </c>
      <c r="G43" s="1695">
        <v>35</v>
      </c>
      <c r="H43" s="1696">
        <v>3.5000000000000003E-2</v>
      </c>
      <c r="I43" s="1516"/>
      <c r="J43" s="1697">
        <f>$L$32*(H39+(G41-F41)*H41+(G42-F42)*H42+(G43-F43)*H43)*$B$38*$C$38</f>
        <v>657.24859382184502</v>
      </c>
      <c r="K43" s="1698">
        <f>$M$32*(H39+(G41-F41)*H41+(G42-F42)*H42+(G43-F43)*H43)*$B$38*$C$38</f>
        <v>54.770716151820416</v>
      </c>
      <c r="L43" s="1697">
        <f t="shared" si="0"/>
        <v>821.5607422773063</v>
      </c>
      <c r="M43" s="1698">
        <f t="shared" si="0"/>
        <v>68.463395189775525</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customHeight="1" outlineLevel="1" x14ac:dyDescent="0.25">
      <c r="A44" s="458"/>
      <c r="B44" s="2305"/>
      <c r="C44" s="2306"/>
      <c r="D44" s="2308"/>
      <c r="E44" s="882"/>
      <c r="F44" s="1694">
        <f>G43</f>
        <v>35</v>
      </c>
      <c r="G44" s="1695">
        <v>50</v>
      </c>
      <c r="H44" s="1696">
        <f>0.03</f>
        <v>0.03</v>
      </c>
      <c r="I44" s="1516"/>
      <c r="J44" s="1697">
        <f>$L$32*(H39+(G41-F41)*H41+(G42-F42)*H42+(G43-F43)*H43+(G44-F44)*H44)*$B$38*$C$38</f>
        <v>821.5607422773063</v>
      </c>
      <c r="K44" s="1698">
        <f>$M$32*(H39+(G41-F41)*H41+(G42-F42)*H42+(G43-F43)*H43+(G44-F44)*H44)*$B$38*$C$38</f>
        <v>68.463395189775525</v>
      </c>
      <c r="L44" s="1697">
        <f t="shared" si="0"/>
        <v>1026.9509278466328</v>
      </c>
      <c r="M44" s="1698">
        <f t="shared" si="0"/>
        <v>85.5792439872194</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customHeight="1" outlineLevel="1" x14ac:dyDescent="0.25">
      <c r="A45" s="458"/>
      <c r="B45" s="2305"/>
      <c r="C45" s="2306"/>
      <c r="D45" s="2308"/>
      <c r="E45" s="882"/>
      <c r="F45" s="1694">
        <f>G44</f>
        <v>50</v>
      </c>
      <c r="G45" s="1695">
        <v>100</v>
      </c>
      <c r="H45" s="1696">
        <v>2.5000000000000001E-2</v>
      </c>
      <c r="I45" s="1516"/>
      <c r="J45" s="1697">
        <f>$L$32*(H39+(G41-F41)*H41+(G42-F42)*H42+(G43-F43)*H43+(G44-F44)*H44+(G45-F45)*H45)*$B$38*$C$38</f>
        <v>1277.9833768758097</v>
      </c>
      <c r="K45" s="1698">
        <f>$M$32*(H39+(G41-F41)*H41+(G42-F42)*H42+(G43-F43)*H43+(G44-F44)*H44+(G45-F45)*H45)*$B$38*$C$38</f>
        <v>106.4986147396508</v>
      </c>
      <c r="L45" s="1697">
        <f t="shared" si="0"/>
        <v>1597.4792210947621</v>
      </c>
      <c r="M45" s="1698">
        <f t="shared" si="0"/>
        <v>133.12326842456349</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customHeight="1" outlineLevel="1" x14ac:dyDescent="0.25">
      <c r="A47" s="458"/>
      <c r="B47" s="2323" t="s">
        <v>385</v>
      </c>
      <c r="C47" s="2324"/>
      <c r="D47" s="2324"/>
      <c r="E47" s="2324"/>
      <c r="F47" s="2324"/>
      <c r="G47" s="2324"/>
      <c r="H47" s="2324"/>
      <c r="I47" s="2324"/>
      <c r="J47" s="2324"/>
      <c r="K47" s="2324"/>
      <c r="L47" s="2324"/>
      <c r="M47" s="2324"/>
      <c r="N47" s="461"/>
      <c r="O47" s="458"/>
      <c r="P47" s="461"/>
      <c r="Q47" s="458"/>
      <c r="R47" s="461"/>
      <c r="S47" s="458"/>
      <c r="T47" s="458"/>
      <c r="U47" s="458"/>
      <c r="V47" s="458"/>
      <c r="W47" s="459"/>
      <c r="X47" s="458"/>
      <c r="Y47" s="459"/>
      <c r="Z47" s="458"/>
      <c r="AA47" s="458"/>
      <c r="AB47" s="473"/>
    </row>
    <row r="48" spans="1:28" s="1656" customFormat="1" ht="25.15" customHeight="1" outlineLevel="1" x14ac:dyDescent="0.45">
      <c r="A48" s="1649"/>
      <c r="B48" s="2309" t="s">
        <v>369</v>
      </c>
      <c r="C48" s="2316"/>
      <c r="D48" s="2316"/>
      <c r="E48" s="2317"/>
      <c r="F48" s="2316"/>
      <c r="G48" s="2316"/>
      <c r="H48" s="2316"/>
      <c r="I48" s="2317"/>
      <c r="J48" s="2316"/>
      <c r="K48" s="2316"/>
      <c r="L48" s="2316"/>
      <c r="M48" s="2316"/>
      <c r="N48" s="1650"/>
      <c r="O48" s="1651">
        <f>G6</f>
        <v>109759.20000000001</v>
      </c>
      <c r="P48" s="1652"/>
      <c r="Q48" s="1653"/>
      <c r="R48" s="1650"/>
      <c r="S48" s="1653"/>
      <c r="T48" s="1649"/>
      <c r="U48" s="1649"/>
      <c r="V48" s="1649"/>
      <c r="W48" s="1654"/>
      <c r="X48" s="1649"/>
      <c r="Y48" s="1654"/>
      <c r="Z48" s="1649"/>
      <c r="AA48" s="1649"/>
      <c r="AB48" s="1655"/>
    </row>
    <row r="49" spans="1:28" s="262" customFormat="1" ht="43.9" customHeight="1" outlineLevel="1" x14ac:dyDescent="0.25">
      <c r="A49" s="458"/>
      <c r="B49" s="2309" t="s">
        <v>370</v>
      </c>
      <c r="C49" s="2309" t="s">
        <v>371</v>
      </c>
      <c r="D49" s="2311"/>
      <c r="E49" s="1515"/>
      <c r="F49" s="2332" t="s">
        <v>372</v>
      </c>
      <c r="G49" s="2316"/>
      <c r="H49" s="2333"/>
      <c r="I49" s="881"/>
      <c r="J49" s="2312" t="s">
        <v>970</v>
      </c>
      <c r="K49" s="2313"/>
      <c r="L49" s="2313"/>
      <c r="M49" s="2313"/>
      <c r="N49" s="458"/>
      <c r="O49" s="265">
        <f>O52+O54+O55+O56+O57+O58</f>
        <v>109759</v>
      </c>
      <c r="P49" s="467"/>
      <c r="Q49" s="895">
        <f>Q52+Q54+Q55+Q56+Q57+Q58</f>
        <v>2738591.4340996132</v>
      </c>
      <c r="R49" s="458"/>
      <c r="S49" s="2353">
        <f>IF(AND(Q49&lt;&gt;0,O49&lt;&gt;0),Q49/(1+$D$17+$D$18+$D$19)/(($D$25*1000000/$D$8)),0)</f>
        <v>8054.8737142729906</v>
      </c>
      <c r="T49" s="2318" t="s">
        <v>373</v>
      </c>
      <c r="U49" s="2314">
        <f>U52+U54+U55+U56+U57+U58</f>
        <v>964129.62046324753</v>
      </c>
      <c r="V49" s="467" t="s">
        <v>374</v>
      </c>
      <c r="W49" s="2351">
        <f>W52*O52+W54*O54+W55*O55+W56*O56+W57*O57+W58*O58</f>
        <v>964129.62046324753</v>
      </c>
      <c r="X49" s="467" t="s">
        <v>374</v>
      </c>
      <c r="Y49" s="865" t="s">
        <v>375</v>
      </c>
      <c r="Z49" s="458"/>
      <c r="AA49" s="458"/>
      <c r="AB49" s="473"/>
    </row>
    <row r="50" spans="1:28" s="262" customFormat="1" ht="24" customHeight="1" outlineLevel="1" x14ac:dyDescent="0.25">
      <c r="A50" s="458"/>
      <c r="B50" s="2310"/>
      <c r="C50" s="1637" t="s">
        <v>376</v>
      </c>
      <c r="D50" s="1638" t="s">
        <v>377</v>
      </c>
      <c r="E50" s="1516"/>
      <c r="F50" s="2334"/>
      <c r="G50" s="2316"/>
      <c r="H50" s="2333"/>
      <c r="I50" s="882"/>
      <c r="J50" s="2335" t="s">
        <v>378</v>
      </c>
      <c r="K50" s="2336"/>
      <c r="L50" s="2337" t="s">
        <v>379</v>
      </c>
      <c r="M50" s="2336"/>
      <c r="N50" s="458"/>
      <c r="O50" s="894" t="s">
        <v>380</v>
      </c>
      <c r="P50" s="467"/>
      <c r="Q50" s="890">
        <v>0.5</v>
      </c>
      <c r="R50" s="458"/>
      <c r="S50" s="2315"/>
      <c r="T50" s="2319"/>
      <c r="U50" s="2315"/>
      <c r="V50" s="467"/>
      <c r="W50" s="2352"/>
      <c r="X50" s="467"/>
      <c r="Y50" s="893">
        <f>$Y$33</f>
        <v>0.1</v>
      </c>
      <c r="Z50" s="458"/>
      <c r="AA50" s="458"/>
      <c r="AB50" s="473"/>
    </row>
    <row r="51" spans="1:28" s="262" customFormat="1" ht="24" customHeight="1" outlineLevel="1" x14ac:dyDescent="0.25">
      <c r="A51" s="458"/>
      <c r="B51" s="2304">
        <v>1</v>
      </c>
      <c r="C51" s="2304">
        <v>1</v>
      </c>
      <c r="D51" s="2307">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customHeight="1" outlineLevel="1" x14ac:dyDescent="0.25">
      <c r="A52" s="458"/>
      <c r="B52" s="2305"/>
      <c r="C52" s="2306"/>
      <c r="D52" s="2308"/>
      <c r="E52" s="882"/>
      <c r="F52" s="1694" t="s">
        <v>338</v>
      </c>
      <c r="G52" s="1695">
        <v>5</v>
      </c>
      <c r="H52" s="1696">
        <f>0.35-0.05</f>
        <v>0.3</v>
      </c>
      <c r="I52" s="1516"/>
      <c r="J52" s="1697">
        <f>$L$32*H52*$B$51*$C$51</f>
        <v>109.54143230364083</v>
      </c>
      <c r="K52" s="1698">
        <f>$M$32*H52*$B$51*$C$51</f>
        <v>9.1284526919700699</v>
      </c>
      <c r="L52" s="1697">
        <f>J52*$D$51</f>
        <v>136.92679037955105</v>
      </c>
      <c r="M52" s="1698">
        <f>K52*$D$51</f>
        <v>11.410565864962587</v>
      </c>
      <c r="N52" s="458"/>
      <c r="O52" s="887">
        <v>76400</v>
      </c>
      <c r="P52" s="467"/>
      <c r="Q52" s="286">
        <f>O52*$Q$50*M52+O52*(1-$Q$50)*K52</f>
        <v>784590.50887482753</v>
      </c>
      <c r="R52" s="458"/>
      <c r="S52" s="891">
        <f>IF(AND(Q52&lt;&gt;0,O52&lt;&gt;0),Q52/(1+$D$17+$D$18+$D$19)/O52/30/(($D$25*1000000/$D$8))*1000,0)</f>
        <v>1.0068387628717526</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customHeight="1" outlineLevel="1" x14ac:dyDescent="0.25">
      <c r="A53" s="458"/>
      <c r="B53" s="2305"/>
      <c r="C53" s="2306"/>
      <c r="D53" s="2308"/>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customHeight="1" outlineLevel="1" x14ac:dyDescent="0.25">
      <c r="A54" s="458"/>
      <c r="B54" s="2305"/>
      <c r="C54" s="2306"/>
      <c r="D54" s="2308"/>
      <c r="E54" s="882"/>
      <c r="F54" s="1694">
        <f>G52</f>
        <v>5</v>
      </c>
      <c r="G54" s="1695">
        <v>15</v>
      </c>
      <c r="H54" s="1696">
        <f>0.08</f>
        <v>0.08</v>
      </c>
      <c r="I54" s="1516"/>
      <c r="J54" s="1697">
        <f>$L$32*(H52+(G54-F54)*H54)*$B$51*$C$51</f>
        <v>401.65191844668311</v>
      </c>
      <c r="K54" s="1698">
        <f>$M$32*(H52+(G54-F54)*H54)*$B$51*$C$51</f>
        <v>33.470993203890259</v>
      </c>
      <c r="L54" s="1697">
        <f t="shared" ref="L54:M58" si="1">J54*$D$51</f>
        <v>502.06489805835389</v>
      </c>
      <c r="M54" s="1698">
        <f t="shared" si="1"/>
        <v>41.838741504862824</v>
      </c>
      <c r="N54" s="458"/>
      <c r="O54" s="887">
        <v>16500</v>
      </c>
      <c r="P54" s="467"/>
      <c r="Q54" s="286">
        <f>O54*$Q$50*M54+O54*(1-$Q$50)*K54</f>
        <v>621305.31134721288</v>
      </c>
      <c r="R54" s="458"/>
      <c r="S54" s="891">
        <f>IF(AND(Q54&lt;&gt;0,O54&lt;&gt;0),Q54/(1+$D$17+$D$18+$D$19)/O54/30/(($D$25*1000000/$D$8))*1000,0)</f>
        <v>3.6917421305297604</v>
      </c>
      <c r="T54" s="467" t="s">
        <v>382</v>
      </c>
      <c r="U54" s="870">
        <f>S54*O54*30*$D$11*(1+$D$24)/1000</f>
        <v>218732.46463941134</v>
      </c>
      <c r="V54" s="467" t="s">
        <v>383</v>
      </c>
      <c r="W54" s="900">
        <f>IF(O54&lt;&gt;0,U54/O54,0)</f>
        <v>13.256513008449172</v>
      </c>
      <c r="X54" s="467" t="s">
        <v>384</v>
      </c>
      <c r="Y54" s="287" t="str">
        <f>IF(O54=0,"-",IF(AND(((F54*(1-$Y$50))&lt;W54),(W54&lt;(G54*(1+$Y$50)))),"OK", "NOK"))</f>
        <v>OK</v>
      </c>
      <c r="Z54" s="151"/>
      <c r="AA54" s="249">
        <f>IF(OR(Y54="OK",Y54="-"),1,0)</f>
        <v>1</v>
      </c>
      <c r="AB54" s="473"/>
    </row>
    <row r="55" spans="1:28" s="262" customFormat="1" ht="24" customHeight="1" outlineLevel="1" x14ac:dyDescent="0.25">
      <c r="A55" s="458"/>
      <c r="B55" s="2305"/>
      <c r="C55" s="2306"/>
      <c r="D55" s="2308"/>
      <c r="E55" s="882"/>
      <c r="F55" s="1694">
        <f>G54</f>
        <v>15</v>
      </c>
      <c r="G55" s="1695">
        <v>25</v>
      </c>
      <c r="H55" s="1696">
        <f>0.0725</f>
        <v>7.2499999999999995E-2</v>
      </c>
      <c r="I55" s="1516"/>
      <c r="J55" s="1697">
        <f>$L$32*(H52+(G54-F54)*H54+(G55-F55)*H55)*$B$51*$C$51</f>
        <v>666.37704651381512</v>
      </c>
      <c r="K55" s="1698">
        <f>$M$32*(H52+(G54-F54)*H54+(G55-F55)*H55)*$B$51*$C$51</f>
        <v>55.531420542817926</v>
      </c>
      <c r="L55" s="1697">
        <f t="shared" si="1"/>
        <v>832.97130814226887</v>
      </c>
      <c r="M55" s="1698">
        <f t="shared" si="1"/>
        <v>69.414275678522415</v>
      </c>
      <c r="N55" s="458"/>
      <c r="O55" s="887">
        <v>10000</v>
      </c>
      <c r="P55" s="467"/>
      <c r="Q55" s="286">
        <f>O55*$Q$50*M55+O55*(1-$Q$50)*K55</f>
        <v>624728.48110670177</v>
      </c>
      <c r="R55" s="458"/>
      <c r="S55" s="891">
        <f>IF(AND(Q55&lt;&gt;0,O55&lt;&gt;0),Q55/(1+$D$17+$D$18+$D$19)/O55/30/(($D$25*1000000/$D$8))*1000,0)</f>
        <v>6.1249358074698286</v>
      </c>
      <c r="T55" s="467" t="s">
        <v>382</v>
      </c>
      <c r="U55" s="870">
        <f>S55*O55*30*$D$11*(1+$D$24)/1000</f>
        <v>219937.60218563399</v>
      </c>
      <c r="V55" s="467" t="s">
        <v>383</v>
      </c>
      <c r="W55" s="901">
        <f>IF(O55&lt;&gt;0,U55/O55,0)</f>
        <v>21.993760218563398</v>
      </c>
      <c r="X55" s="467" t="s">
        <v>384</v>
      </c>
      <c r="Y55" s="287" t="str">
        <f>IF(O55=0,"-",IF(AND(((F55*(1-$Y$50))&lt;W55),(W55&lt;(G55*(1+$Y$50)))),"OK", "NOK"))</f>
        <v>OK</v>
      </c>
      <c r="Z55" s="151"/>
      <c r="AA55" s="249">
        <f>IF(OR(Y55="OK",Y55="-"),1,0)</f>
        <v>1</v>
      </c>
      <c r="AB55" s="473"/>
    </row>
    <row r="56" spans="1:28" s="262" customFormat="1" ht="24" customHeight="1" outlineLevel="1" x14ac:dyDescent="0.25">
      <c r="A56" s="458"/>
      <c r="B56" s="2305"/>
      <c r="C56" s="2306"/>
      <c r="D56" s="2308"/>
      <c r="E56" s="882"/>
      <c r="F56" s="1694">
        <f>G55</f>
        <v>25</v>
      </c>
      <c r="G56" s="1695">
        <v>35</v>
      </c>
      <c r="H56" s="1696">
        <v>6.5000000000000002E-2</v>
      </c>
      <c r="I56" s="1516"/>
      <c r="J56" s="1697">
        <f>$L$32*(H52+(G54-F54)*H54+(G55-F55)*H55+(G56-F56)*H56)*$B$51*$C$51</f>
        <v>903.71681650503695</v>
      </c>
      <c r="K56" s="1698">
        <f>$M$32*(H52+(G54-F54)*H54+(G55-F55)*H55+(G56-F56)*H56)*$B$51*$C$51</f>
        <v>75.309734708753084</v>
      </c>
      <c r="L56" s="1697">
        <f t="shared" si="1"/>
        <v>1129.6460206312961</v>
      </c>
      <c r="M56" s="1698">
        <f t="shared" si="1"/>
        <v>94.137168385941351</v>
      </c>
      <c r="N56" s="458"/>
      <c r="O56" s="887">
        <v>5500</v>
      </c>
      <c r="P56" s="467"/>
      <c r="Q56" s="286">
        <f>O56*$Q$50*M56+O56*(1-$Q$50)*K56</f>
        <v>465978.98351040971</v>
      </c>
      <c r="R56" s="458"/>
      <c r="S56" s="891">
        <f>IF(AND(Q56&lt;&gt;0,O56&lt;&gt;0),Q56/(1+$D$17+$D$18+$D$19)/O56/30/(($D$25*1000000/$D$8))*1000,0)</f>
        <v>8.3064197936919602</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customHeight="1" outlineLevel="1" x14ac:dyDescent="0.25">
      <c r="A57" s="458"/>
      <c r="B57" s="2305"/>
      <c r="C57" s="2306"/>
      <c r="D57" s="2308"/>
      <c r="E57" s="882"/>
      <c r="F57" s="1694">
        <f>G56</f>
        <v>35</v>
      </c>
      <c r="G57" s="1695">
        <v>50</v>
      </c>
      <c r="H57" s="1696">
        <f>0.06</f>
        <v>0.06</v>
      </c>
      <c r="I57" s="1516"/>
      <c r="J57" s="1697">
        <f>$L$32*(H52+(G54-F54)*H54+(G55-F55)*H55+(G56-F56)*H56+(G57-F57)*H57)*$B$51*$C$51</f>
        <v>1232.3411134159594</v>
      </c>
      <c r="K57" s="1698">
        <f>$M$32*(H52+(G54-F54)*H54+(G55-F55)*H55+(G56-F56)*H56+(G57-F57)*H57)*$B$51*$C$51</f>
        <v>102.69509278466329</v>
      </c>
      <c r="L57" s="1697">
        <f t="shared" si="1"/>
        <v>1540.4263917699493</v>
      </c>
      <c r="M57" s="1698">
        <f t="shared" si="1"/>
        <v>128.3688659808291</v>
      </c>
      <c r="N57" s="458"/>
      <c r="O57" s="887">
        <v>366</v>
      </c>
      <c r="P57" s="467"/>
      <c r="Q57" s="286">
        <f>O57*$Q$50*M57+O57*(1-$Q$50)*K57</f>
        <v>42284.704454085106</v>
      </c>
      <c r="R57" s="458"/>
      <c r="S57" s="891">
        <f>IF(AND(Q57&lt;&gt;0,O57&lt;&gt;0),Q57/(1+$D$17+$D$18+$D$19)/O57/30/(($D$25*1000000/$D$8))*1000,0)</f>
        <v>11.326936082307213</v>
      </c>
      <c r="T57" s="467" t="s">
        <v>382</v>
      </c>
      <c r="U57" s="870">
        <f>S57*O57*30*$D$11*(1+$D$24)/1000</f>
        <v>14886.461539715301</v>
      </c>
      <c r="V57" s="467" t="s">
        <v>383</v>
      </c>
      <c r="W57" s="901">
        <f>IF(O57&lt;&gt;0,U57/O57,0)</f>
        <v>40.673392185014485</v>
      </c>
      <c r="X57" s="467" t="s">
        <v>384</v>
      </c>
      <c r="Y57" s="287" t="str">
        <f>IF(O57=0,"-",IF(AND(((F57*(1-$Y$50))&lt;W57),(W57&lt;(G57*(1+$Y$50)))),"OK", "NOK"))</f>
        <v>OK</v>
      </c>
      <c r="Z57" s="151"/>
      <c r="AA57" s="249">
        <f>IF(OR(Y57="OK",Y57="-"),1,0)</f>
        <v>1</v>
      </c>
      <c r="AB57" s="473"/>
    </row>
    <row r="58" spans="1:28" s="262" customFormat="1" ht="24" customHeight="1" outlineLevel="1" x14ac:dyDescent="0.25">
      <c r="A58" s="458"/>
      <c r="B58" s="2305"/>
      <c r="C58" s="2306"/>
      <c r="D58" s="2308"/>
      <c r="E58" s="882"/>
      <c r="F58" s="1694">
        <f>G57</f>
        <v>50</v>
      </c>
      <c r="G58" s="1695">
        <v>100</v>
      </c>
      <c r="H58" s="1696">
        <v>0.05</v>
      </c>
      <c r="I58" s="1516"/>
      <c r="J58" s="1697">
        <f>$L$32*(H52+(G54-F54)*H54+(G55-F55)*H55+(G56-F56)*H56+(G57-F57)*H57+(G58-F58)*H58)*$B$51*$C$51</f>
        <v>2145.1863826129666</v>
      </c>
      <c r="K58" s="1698">
        <f>$M$32*(H52+(G54-F54)*H54+(G55-F55)*H55+(G56-F56)*H56+(G57-F57)*H57+(G58-F58)*H58)*$B$51*$C$51</f>
        <v>178.76553188441386</v>
      </c>
      <c r="L58" s="1697">
        <f t="shared" si="1"/>
        <v>2681.4829782662082</v>
      </c>
      <c r="M58" s="1698">
        <f t="shared" si="1"/>
        <v>223.45691485551731</v>
      </c>
      <c r="N58" s="458"/>
      <c r="O58" s="887">
        <v>993</v>
      </c>
      <c r="P58" s="467"/>
      <c r="Q58" s="286">
        <f>O58*$Q$50*M58+O58*(1-$Q$50)*K58</f>
        <v>199703.44480637583</v>
      </c>
      <c r="R58" s="458"/>
      <c r="S58" s="891">
        <f>IF(AND(Q58&lt;&gt;0,O58&lt;&gt;0),Q58/(1+$D$17+$D$18+$D$19)/O58/30/(($D$25*1000000/$D$8))*1000,0)</f>
        <v>19.717259106238487</v>
      </c>
      <c r="T58" s="467" t="s">
        <v>382</v>
      </c>
      <c r="U58" s="870">
        <f>S58*O58*30*$D$11*(1+$D$24)/1000</f>
        <v>70306.218024696733</v>
      </c>
      <c r="V58" s="467" t="s">
        <v>383</v>
      </c>
      <c r="W58" s="902">
        <f>IF(O58&lt;&gt;0,U58/O58,0)</f>
        <v>70.801830840580791</v>
      </c>
      <c r="X58" s="467" t="s">
        <v>384</v>
      </c>
      <c r="Y58" s="287" t="str">
        <f>IF(O58=0,"-",IF(AND(((F58*(1-$Y$50))&lt;W58),(W58&lt;(G58*(1+$Y$50)))),"OK", "NOK"))</f>
        <v>OK</v>
      </c>
      <c r="Z58" s="151"/>
      <c r="AA58" s="249">
        <f>IF(OR(Y58="OK",Y58="-"),1,0)</f>
        <v>1</v>
      </c>
      <c r="AB58" s="473"/>
    </row>
    <row r="59" spans="1:28" s="262" customFormat="1" ht="10.15"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customHeight="1" outlineLevel="1" x14ac:dyDescent="0.25">
      <c r="A60" s="458"/>
      <c r="B60" s="2323" t="s">
        <v>386</v>
      </c>
      <c r="C60" s="2324"/>
      <c r="D60" s="2324"/>
      <c r="E60" s="2324"/>
      <c r="F60" s="2324"/>
      <c r="G60" s="2324"/>
      <c r="H60" s="2324"/>
      <c r="I60" s="2324"/>
      <c r="J60" s="2324"/>
      <c r="K60" s="2324"/>
      <c r="L60" s="2324"/>
      <c r="M60" s="2324"/>
      <c r="N60" s="461"/>
      <c r="O60" s="458"/>
      <c r="P60" s="461"/>
      <c r="Q60" s="458"/>
      <c r="R60" s="461"/>
      <c r="S60" s="458"/>
      <c r="T60" s="458"/>
      <c r="U60" s="458"/>
      <c r="V60" s="458"/>
      <c r="W60" s="459"/>
      <c r="X60" s="458"/>
      <c r="Y60" s="459"/>
      <c r="Z60" s="458"/>
      <c r="AA60" s="458"/>
      <c r="AB60" s="473"/>
    </row>
    <row r="61" spans="1:28" s="1656" customFormat="1" ht="25.15" customHeight="1" outlineLevel="1" x14ac:dyDescent="0.45">
      <c r="A61" s="1649"/>
      <c r="B61" s="2309" t="s">
        <v>369</v>
      </c>
      <c r="C61" s="2316"/>
      <c r="D61" s="2316"/>
      <c r="E61" s="2317"/>
      <c r="F61" s="2316"/>
      <c r="G61" s="2316"/>
      <c r="H61" s="2316"/>
      <c r="I61" s="2317"/>
      <c r="J61" s="2316"/>
      <c r="K61" s="2316"/>
      <c r="L61" s="2316"/>
      <c r="M61" s="2316"/>
      <c r="N61" s="1650"/>
      <c r="O61" s="1651">
        <f>G7</f>
        <v>27439.800000000003</v>
      </c>
      <c r="P61" s="1652"/>
      <c r="Q61" s="1657"/>
      <c r="R61" s="1650"/>
      <c r="S61" s="1657"/>
      <c r="T61" s="1649"/>
      <c r="U61" s="1649"/>
      <c r="V61" s="1649"/>
      <c r="W61" s="1654"/>
      <c r="X61" s="1649"/>
      <c r="Y61" s="1654"/>
      <c r="Z61" s="1649"/>
      <c r="AA61" s="1649"/>
      <c r="AB61" s="1655"/>
    </row>
    <row r="62" spans="1:28" s="262" customFormat="1" ht="43.9" customHeight="1" outlineLevel="1" x14ac:dyDescent="0.25">
      <c r="A62" s="458"/>
      <c r="B62" s="2309" t="s">
        <v>370</v>
      </c>
      <c r="C62" s="2309" t="s">
        <v>371</v>
      </c>
      <c r="D62" s="2311"/>
      <c r="E62" s="1515"/>
      <c r="F62" s="2332" t="s">
        <v>372</v>
      </c>
      <c r="G62" s="2316"/>
      <c r="H62" s="2333"/>
      <c r="I62" s="881"/>
      <c r="J62" s="2312" t="s">
        <v>970</v>
      </c>
      <c r="K62" s="2313"/>
      <c r="L62" s="2313"/>
      <c r="M62" s="2313"/>
      <c r="N62" s="458"/>
      <c r="O62" s="265">
        <f>O65+O67+O68+O69+O70+O71</f>
        <v>27440</v>
      </c>
      <c r="P62" s="467"/>
      <c r="Q62" s="889">
        <f>Q65+Q67+Q68+Q69+Q70+Q71</f>
        <v>144924.11367732735</v>
      </c>
      <c r="R62" s="458"/>
      <c r="S62" s="2314">
        <f>IF(AND(Q62&lt;&gt;0,O62&lt;&gt;0),Q62/(1+$D$17+$D$18+$D$19)/(($D$25*1000000/$D$8)),0)</f>
        <v>426.25760793983181</v>
      </c>
      <c r="T62" s="2318" t="s">
        <v>373</v>
      </c>
      <c r="U62" s="2314">
        <f>U65+U67+U68+U69+U70+U71</f>
        <v>255104.92177821483</v>
      </c>
      <c r="V62" s="467" t="s">
        <v>374</v>
      </c>
      <c r="W62" s="2314">
        <f>W65*O65+W67*O67+W68*O68+W69*O69+W70*O70+W71*O71</f>
        <v>255104.92177821483</v>
      </c>
      <c r="X62" s="467" t="s">
        <v>374</v>
      </c>
      <c r="Y62" s="865" t="s">
        <v>375</v>
      </c>
      <c r="Z62" s="458"/>
      <c r="AA62" s="458"/>
      <c r="AB62" s="473"/>
    </row>
    <row r="63" spans="1:28" s="262" customFormat="1" ht="24" customHeight="1" outlineLevel="1" x14ac:dyDescent="0.25">
      <c r="A63" s="458"/>
      <c r="B63" s="2310"/>
      <c r="C63" s="1637" t="s">
        <v>376</v>
      </c>
      <c r="D63" s="1638" t="s">
        <v>377</v>
      </c>
      <c r="E63" s="1516"/>
      <c r="F63" s="2334"/>
      <c r="G63" s="2316"/>
      <c r="H63" s="2333"/>
      <c r="I63" s="882"/>
      <c r="J63" s="2335" t="s">
        <v>378</v>
      </c>
      <c r="K63" s="2336"/>
      <c r="L63" s="2337" t="s">
        <v>379</v>
      </c>
      <c r="M63" s="2336"/>
      <c r="N63" s="458"/>
      <c r="O63" s="894" t="s">
        <v>380</v>
      </c>
      <c r="P63" s="467"/>
      <c r="Q63" s="890">
        <v>0.25</v>
      </c>
      <c r="R63" s="458"/>
      <c r="S63" s="2315"/>
      <c r="T63" s="2319"/>
      <c r="U63" s="2315"/>
      <c r="V63" s="467"/>
      <c r="W63" s="2342"/>
      <c r="X63" s="467"/>
      <c r="Y63" s="893">
        <f>$Y$33</f>
        <v>0.1</v>
      </c>
      <c r="Z63" s="458"/>
      <c r="AA63" s="458"/>
      <c r="AB63" s="473"/>
    </row>
    <row r="64" spans="1:28" s="262" customFormat="1" ht="24" customHeight="1" outlineLevel="1" x14ac:dyDescent="0.25">
      <c r="A64" s="458"/>
      <c r="B64" s="2348">
        <f>B51*$H$15</f>
        <v>0.2</v>
      </c>
      <c r="C64" s="2348">
        <f>C51</f>
        <v>1</v>
      </c>
      <c r="D64" s="2348">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customHeight="1" outlineLevel="1" x14ac:dyDescent="0.25">
      <c r="A65" s="458"/>
      <c r="B65" s="2349"/>
      <c r="C65" s="2349"/>
      <c r="D65" s="2349"/>
      <c r="E65" s="882"/>
      <c r="F65" s="1694" t="s">
        <v>338</v>
      </c>
      <c r="G65" s="1699">
        <f>G52</f>
        <v>5</v>
      </c>
      <c r="H65" s="1700">
        <f>H52</f>
        <v>0.3</v>
      </c>
      <c r="I65" s="1516"/>
      <c r="J65" s="1701">
        <f>$L$32*H65*$B$64*$C$64</f>
        <v>21.908286460728167</v>
      </c>
      <c r="K65" s="1698">
        <f>$M$32*H65*$B$64*$C$64</f>
        <v>1.8256905383940141</v>
      </c>
      <c r="L65" s="1697">
        <f>J65*$D$51</f>
        <v>27.385358075910208</v>
      </c>
      <c r="M65" s="1698">
        <f>K65*$D$51</f>
        <v>2.2821131729925175</v>
      </c>
      <c r="N65" s="458"/>
      <c r="O65" s="887">
        <v>15000</v>
      </c>
      <c r="P65" s="467"/>
      <c r="Q65" s="286">
        <f>O65*$Q$63*M65+O65*(1-$Q$63)*K65</f>
        <v>29096.942955654595</v>
      </c>
      <c r="R65" s="458"/>
      <c r="S65" s="891">
        <f>IF(AND(Q65&lt;&gt;0,O65&lt;&gt;0),Q65/(1+$D$17+$D$18+$D$19)/$H$15/O65/30/(($D$25*1000000/$D$8))*1000,0)</f>
        <v>0.95090327604554381</v>
      </c>
      <c r="T65" s="467" t="s">
        <v>382</v>
      </c>
      <c r="U65" s="870">
        <f>S65*O65*30*$D$11*(1+$D$24)/1000</f>
        <v>51218.345714462688</v>
      </c>
      <c r="V65" s="467" t="s">
        <v>383</v>
      </c>
      <c r="W65" s="870">
        <f>IF(O65&lt;&gt;0,U65/O65,0)</f>
        <v>3.414556380964179</v>
      </c>
      <c r="X65" s="467" t="s">
        <v>384</v>
      </c>
      <c r="Y65" s="287" t="str">
        <f>IF(O65=0,"-", IF(W65&lt;=(G65*(1+$Y$63)),"OK", "NOK"))</f>
        <v>OK</v>
      </c>
      <c r="Z65" s="284">
        <f>W65/$H$15</f>
        <v>17.072781904820893</v>
      </c>
      <c r="AA65" s="249">
        <f>IF(OR(Y65="OK",Y65="-"),1,0)</f>
        <v>1</v>
      </c>
      <c r="AB65" s="459"/>
    </row>
    <row r="66" spans="1:28" s="262" customFormat="1" ht="24" customHeight="1" outlineLevel="1" x14ac:dyDescent="0.25">
      <c r="A66" s="458"/>
      <c r="B66" s="2349"/>
      <c r="C66" s="2349"/>
      <c r="D66" s="2349"/>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customHeight="1" outlineLevel="1" x14ac:dyDescent="0.25">
      <c r="A67" s="458"/>
      <c r="B67" s="2349"/>
      <c r="C67" s="2349"/>
      <c r="D67" s="2349"/>
      <c r="E67" s="882"/>
      <c r="F67" s="1694">
        <f>G65</f>
        <v>5</v>
      </c>
      <c r="G67" s="1699">
        <f t="shared" ref="G67:H71" si="2">G54</f>
        <v>15</v>
      </c>
      <c r="H67" s="1700">
        <f t="shared" si="2"/>
        <v>0.08</v>
      </c>
      <c r="I67" s="1516"/>
      <c r="J67" s="1701">
        <f>$L$32*(H65+(G67-F67)*H67)*$B$64*$C$64</f>
        <v>80.330383689336628</v>
      </c>
      <c r="K67" s="1698">
        <f>$M$32*(H65+(G67-F67)*H67)*$B$64*$C$64</f>
        <v>6.694198640778052</v>
      </c>
      <c r="L67" s="1697">
        <f t="shared" ref="L67:M71" si="3">J67*$D$51</f>
        <v>100.41297961167078</v>
      </c>
      <c r="M67" s="1698">
        <f t="shared" si="3"/>
        <v>8.3677483009725648</v>
      </c>
      <c r="N67" s="458"/>
      <c r="O67" s="887">
        <v>8400</v>
      </c>
      <c r="P67" s="467"/>
      <c r="Q67" s="286">
        <f>O67*$Q$63*M67+O67*(1-$Q$63)*K67</f>
        <v>59745.722868944111</v>
      </c>
      <c r="R67" s="458"/>
      <c r="S67" s="891">
        <f>IF(AND(Q67&lt;&gt;0,O67&lt;&gt;0),Q67/(1+$D$17+$D$18+$D$19)/$H$15/O67/30/(($D$25*1000000/$D$8))*1000,0)</f>
        <v>3.4866453455003286</v>
      </c>
      <c r="T67" s="467" t="s">
        <v>382</v>
      </c>
      <c r="U67" s="870">
        <f>S67*O67*30*$D$11*(1+$D$24)/1000</f>
        <v>105168.33653369675</v>
      </c>
      <c r="V67" s="467" t="s">
        <v>383</v>
      </c>
      <c r="W67" s="870">
        <f>IF(O67&lt;&gt;0,U67/O67,0)</f>
        <v>12.520040063535328</v>
      </c>
      <c r="X67" s="467" t="s">
        <v>384</v>
      </c>
      <c r="Y67" s="287" t="str">
        <f>IF(O67=0,"-",IF(AND(((F67*(1-$Y$63))&lt;W67),(W67&lt;(G67*(1+$Y$63)))),"OK", "NOK"))</f>
        <v>OK</v>
      </c>
      <c r="Z67" s="284">
        <f>W67/$H$15</f>
        <v>62.600200317676638</v>
      </c>
      <c r="AA67" s="249">
        <f>IF(OR(Y67="OK",Y67="-"),1,0)</f>
        <v>1</v>
      </c>
      <c r="AB67" s="459"/>
    </row>
    <row r="68" spans="1:28" s="262" customFormat="1" ht="24" customHeight="1" outlineLevel="1" x14ac:dyDescent="0.25">
      <c r="A68" s="458"/>
      <c r="B68" s="2349"/>
      <c r="C68" s="2349"/>
      <c r="D68" s="2349"/>
      <c r="E68" s="882"/>
      <c r="F68" s="1694">
        <f>G67</f>
        <v>15</v>
      </c>
      <c r="G68" s="1699">
        <f t="shared" si="2"/>
        <v>25</v>
      </c>
      <c r="H68" s="1700">
        <f t="shared" si="2"/>
        <v>7.2499999999999995E-2</v>
      </c>
      <c r="I68" s="1516"/>
      <c r="J68" s="1701">
        <f>$L$32*(H65+(G67-F67)*H67+(G68-F68)*H68)*$B$64*$C$64</f>
        <v>133.27540930276302</v>
      </c>
      <c r="K68" s="1698">
        <f>$M$32*(H65+(G67-F67)*H67+(G68-F68)*H68)*$B$64*$C$64</f>
        <v>11.106284108563585</v>
      </c>
      <c r="L68" s="1697">
        <f t="shared" si="3"/>
        <v>166.59426162845378</v>
      </c>
      <c r="M68" s="1698">
        <f t="shared" si="3"/>
        <v>13.882855135704482</v>
      </c>
      <c r="N68" s="458"/>
      <c r="O68" s="887">
        <v>2960</v>
      </c>
      <c r="P68" s="467"/>
      <c r="Q68" s="286">
        <f>O68*$Q$63*M68+O68*(1-$Q$63)*K68</f>
        <v>34929.263521432476</v>
      </c>
      <c r="R68" s="458"/>
      <c r="S68" s="891">
        <f>IF(AND(Q68&lt;&gt;0,O68&lt;&gt;0),Q68/(1+$D$17+$D$18+$D$19)/$H$15/O68/30/(($D$25*1000000/$D$8))*1000,0)</f>
        <v>5.7846615959437262</v>
      </c>
      <c r="T68" s="467" t="s">
        <v>382</v>
      </c>
      <c r="U68" s="870">
        <f>S68*O68*30*$D$11*(1+$D$24)/1000</f>
        <v>61484.778566561661</v>
      </c>
      <c r="V68" s="467" t="s">
        <v>383</v>
      </c>
      <c r="W68" s="870">
        <f>IF(O68&lt;&gt;0,U68/O68,0)</f>
        <v>20.771884650865427</v>
      </c>
      <c r="X68" s="467" t="s">
        <v>384</v>
      </c>
      <c r="Y68" s="287" t="str">
        <f>IF(O68=0,"-",IF(AND(((F68*(1-$Y$63))&lt;W68),(W68&lt;(G68*(1+$Y$63)))),"OK", "NOK"))</f>
        <v>OK</v>
      </c>
      <c r="Z68" s="284">
        <f>W68/$H$15</f>
        <v>103.85942325432713</v>
      </c>
      <c r="AA68" s="249">
        <f>IF(OR(Y68="OK",Y68="-"),1,0)</f>
        <v>1</v>
      </c>
      <c r="AB68" s="459"/>
    </row>
    <row r="69" spans="1:28" s="262" customFormat="1" ht="24" customHeight="1" outlineLevel="1" x14ac:dyDescent="0.25">
      <c r="A69" s="458"/>
      <c r="B69" s="2349"/>
      <c r="C69" s="2349"/>
      <c r="D69" s="2349"/>
      <c r="E69" s="882"/>
      <c r="F69" s="1694">
        <f>G68</f>
        <v>25</v>
      </c>
      <c r="G69" s="1699">
        <f t="shared" si="2"/>
        <v>35</v>
      </c>
      <c r="H69" s="1700">
        <f t="shared" si="2"/>
        <v>6.5000000000000002E-2</v>
      </c>
      <c r="I69" s="1516"/>
      <c r="J69" s="1701">
        <f>$L$32*(H65+(G67-F67)*H67+(G68-F68)*H68+(G69-F69)*H69)*$B$64*$C$64</f>
        <v>180.74336330100741</v>
      </c>
      <c r="K69" s="1698">
        <f>$M$32*(H65+(G67-F67)*H67+(G68-F68)*H68+(G69-F69)*H69)*$B$64*$C$64</f>
        <v>15.061946941750618</v>
      </c>
      <c r="L69" s="1697">
        <f t="shared" si="3"/>
        <v>225.92920412625926</v>
      </c>
      <c r="M69" s="1698">
        <f t="shared" si="3"/>
        <v>18.827433677188271</v>
      </c>
      <c r="N69" s="458"/>
      <c r="O69" s="887">
        <v>693</v>
      </c>
      <c r="P69" s="467"/>
      <c r="Q69" s="286">
        <f>O69*$Q$63*M69+O69*(1-$Q$63)*K69</f>
        <v>11090.299807547752</v>
      </c>
      <c r="R69" s="458"/>
      <c r="S69" s="891">
        <f>IF(AND(Q69&lt;&gt;0,O69&lt;&gt;0),Q69/(1+$D$17+$D$18+$D$19)/$H$15/O69/30/(($D$25*1000000/$D$8))*1000,0)</f>
        <v>7.8449520273757409</v>
      </c>
      <c r="T69" s="467" t="s">
        <v>382</v>
      </c>
      <c r="U69" s="870">
        <f>S69*O69*30*$D$11*(1+$D$24)/1000</f>
        <v>19521.872469067464</v>
      </c>
      <c r="V69" s="467" t="s">
        <v>383</v>
      </c>
      <c r="W69" s="870">
        <f>IF(O69&lt;&gt;0,U69/O69,0)</f>
        <v>28.170090142954493</v>
      </c>
      <c r="X69" s="467" t="s">
        <v>384</v>
      </c>
      <c r="Y69" s="287" t="str">
        <f>IF(O69=0,"-",IF(AND(((F69*(1-$Y$63))&lt;W69),(W69&lt;(G69*(1+$Y$63)))),"OK", "NOK"))</f>
        <v>OK</v>
      </c>
      <c r="Z69" s="284">
        <f>W69/$H$15</f>
        <v>140.85045071477245</v>
      </c>
      <c r="AA69" s="249">
        <f>IF(OR(Y69="OK",Y69="-"),1,0)</f>
        <v>1</v>
      </c>
      <c r="AB69" s="459"/>
    </row>
    <row r="70" spans="1:28" s="262" customFormat="1" ht="24" customHeight="1" outlineLevel="1" x14ac:dyDescent="0.25">
      <c r="A70" s="458"/>
      <c r="B70" s="2349"/>
      <c r="C70" s="2349"/>
      <c r="D70" s="2349"/>
      <c r="E70" s="882"/>
      <c r="F70" s="1694">
        <f>G69</f>
        <v>35</v>
      </c>
      <c r="G70" s="1699">
        <f t="shared" si="2"/>
        <v>50</v>
      </c>
      <c r="H70" s="1700">
        <f t="shared" si="2"/>
        <v>0.06</v>
      </c>
      <c r="I70" s="1516"/>
      <c r="J70" s="1701">
        <f>$L$32*(H65+(G67-F67)*H67+(G68-F68)*H68+(G69-F69)*H69+(G70-F70)*H70)*$B$64*$C$64</f>
        <v>246.4682226831919</v>
      </c>
      <c r="K70" s="1698">
        <f>$M$32*(H65+(G67-F67)*H67+(G68-F68)*H68+(G69-F69)*H69+(G70-F70)*H70)*$B$64*$C$64</f>
        <v>20.53901855693266</v>
      </c>
      <c r="L70" s="1697">
        <f t="shared" si="3"/>
        <v>308.08527835398985</v>
      </c>
      <c r="M70" s="1698">
        <f t="shared" si="3"/>
        <v>25.673773196165826</v>
      </c>
      <c r="N70" s="458"/>
      <c r="O70" s="887">
        <v>287</v>
      </c>
      <c r="P70" s="467"/>
      <c r="Q70" s="286">
        <f>O70*$Q$63*M70+O70*(1-$Q$63)*K70</f>
        <v>6263.1169712046531</v>
      </c>
      <c r="R70" s="458"/>
      <c r="S70" s="891">
        <f>IF(AND(Q70&lt;&gt;0,O70&lt;&gt;0),Q70/(1+$D$17+$D$18+$D$19)/$H$15/O70/30/(($D$25*1000000/$D$8))*1000,0)</f>
        <v>10.697661855512374</v>
      </c>
      <c r="T70" s="467" t="s">
        <v>382</v>
      </c>
      <c r="U70" s="870">
        <f>S70*O70*30*$D$11*(1+$D$24)/1000</f>
        <v>11024.748915038099</v>
      </c>
      <c r="V70" s="467" t="s">
        <v>383</v>
      </c>
      <c r="W70" s="870">
        <f>IF(O70&lt;&gt;0,U70/O70,0)</f>
        <v>38.413759285847036</v>
      </c>
      <c r="X70" s="467" t="s">
        <v>384</v>
      </c>
      <c r="Y70" s="287" t="str">
        <f>IF(O70=0,"-",IF(AND(((F70*(1-$Y$63))&lt;W70),(W70&lt;(G70*(1+$Y$63)))),"OK", "NOK"))</f>
        <v>OK</v>
      </c>
      <c r="Z70" s="284">
        <f>W70/$H$15</f>
        <v>192.06879642923516</v>
      </c>
      <c r="AA70" s="249">
        <f>IF(OR(Y70="OK",Y70="-"),1,0)</f>
        <v>1</v>
      </c>
      <c r="AB70" s="459"/>
    </row>
    <row r="71" spans="1:28" s="262" customFormat="1" ht="24" customHeight="1" outlineLevel="1" x14ac:dyDescent="0.25">
      <c r="A71" s="458"/>
      <c r="B71" s="2350"/>
      <c r="C71" s="2350"/>
      <c r="D71" s="2350"/>
      <c r="E71" s="882"/>
      <c r="F71" s="1694">
        <f>G70</f>
        <v>50</v>
      </c>
      <c r="G71" s="1699">
        <f t="shared" si="2"/>
        <v>100</v>
      </c>
      <c r="H71" s="1700">
        <f t="shared" si="2"/>
        <v>0.05</v>
      </c>
      <c r="I71" s="1516"/>
      <c r="J71" s="1701">
        <f>$L$32*(H65+(G67-F67)*H67+(G68-F68)*H68+(G69-F69)*H69+(G70-F70)*H70+(G71-F71)*H71)*$B$64*$C$64</f>
        <v>429.03727652259334</v>
      </c>
      <c r="K71" s="1698">
        <f>$M$32*(H65+(G67-F67)*H67+(G68-F68)*H68+(G69-F69)*H69+(G70-F70)*H70+(G71-F71)*H71)*$B$64*$C$64</f>
        <v>35.753106376882776</v>
      </c>
      <c r="L71" s="1697">
        <f t="shared" si="3"/>
        <v>536.29659565324164</v>
      </c>
      <c r="M71" s="1698">
        <f t="shared" si="3"/>
        <v>44.691382971103472</v>
      </c>
      <c r="N71" s="458"/>
      <c r="O71" s="887">
        <v>100</v>
      </c>
      <c r="P71" s="467"/>
      <c r="Q71" s="286">
        <f>O71*$Q$63*M71+O71*(1-$Q$63)*K71</f>
        <v>3798.7675525437953</v>
      </c>
      <c r="R71" s="458"/>
      <c r="S71" s="891">
        <f>IF(AND(Q71&lt;&gt;0,O71&lt;&gt;0),Q71/(1+$D$17+$D$18+$D$19)/$H$15/O71/30/(($D$25*1000000/$D$8))*1000,0)</f>
        <v>18.621855822558576</v>
      </c>
      <c r="T71" s="467" t="s">
        <v>382</v>
      </c>
      <c r="U71" s="870">
        <f>S71*O71*30*$D$11*(1+$D$24)/1000</f>
        <v>6686.8395793881873</v>
      </c>
      <c r="V71" s="467" t="s">
        <v>383</v>
      </c>
      <c r="W71" s="870">
        <f>IF(O71&lt;&gt;0,U71/O71,0)</f>
        <v>66.868395793881874</v>
      </c>
      <c r="X71" s="467" t="s">
        <v>384</v>
      </c>
      <c r="Y71" s="287" t="str">
        <f>IF(O71=0,"-",IF(AND(((F71*(1-$Y$63))&lt;W71),(W71&lt;(G71*(1+$Y$63)))),"OK", "NOK"))</f>
        <v>OK</v>
      </c>
      <c r="Z71" s="284">
        <f>W71/$H$15</f>
        <v>334.34197896940935</v>
      </c>
      <c r="AA71" s="249">
        <f>IF(OR(Y71="OK",Y71="-"),1,0)</f>
        <v>1</v>
      </c>
      <c r="AB71" s="459"/>
    </row>
    <row r="72" spans="1:28" s="262" customFormat="1" ht="10.15"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customHeight="1" outlineLevel="1" x14ac:dyDescent="0.25">
      <c r="A73" s="458"/>
      <c r="B73" s="2323" t="s">
        <v>762</v>
      </c>
      <c r="C73" s="2324"/>
      <c r="D73" s="2324"/>
      <c r="E73" s="2324"/>
      <c r="F73" s="2324"/>
      <c r="G73" s="2324"/>
      <c r="H73" s="2324"/>
      <c r="I73" s="2324"/>
      <c r="J73" s="2324"/>
      <c r="K73" s="2324"/>
      <c r="L73" s="2324"/>
      <c r="M73" s="2324"/>
      <c r="N73" s="458"/>
      <c r="O73" s="458"/>
      <c r="P73" s="458"/>
      <c r="Q73" s="458"/>
      <c r="R73" s="458"/>
      <c r="S73" s="458"/>
      <c r="T73" s="458"/>
      <c r="U73" s="458"/>
      <c r="V73" s="458"/>
      <c r="W73" s="459"/>
      <c r="X73" s="458"/>
      <c r="Y73" s="459"/>
      <c r="Z73" s="458"/>
      <c r="AA73" s="458"/>
      <c r="AB73" s="473"/>
    </row>
    <row r="74" spans="1:28" s="1656" customFormat="1" ht="25.15" customHeight="1" outlineLevel="1" x14ac:dyDescent="0.45">
      <c r="A74" s="1649"/>
      <c r="B74" s="2309" t="s">
        <v>369</v>
      </c>
      <c r="C74" s="2316"/>
      <c r="D74" s="2316"/>
      <c r="E74" s="2317"/>
      <c r="F74" s="2316"/>
      <c r="G74" s="2316"/>
      <c r="H74" s="2316"/>
      <c r="I74" s="2317"/>
      <c r="J74" s="2316"/>
      <c r="K74" s="2316"/>
      <c r="L74" s="2316"/>
      <c r="M74" s="2316"/>
      <c r="N74" s="1649"/>
      <c r="O74" s="1651">
        <f>G8</f>
        <v>27439.8</v>
      </c>
      <c r="P74" s="1658"/>
      <c r="Q74" s="1649"/>
      <c r="R74" s="1649"/>
      <c r="S74" s="1649"/>
      <c r="T74" s="1649"/>
      <c r="U74" s="1649"/>
      <c r="V74" s="1649"/>
      <c r="W74" s="1654"/>
      <c r="X74" s="1649"/>
      <c r="Y74" s="1654"/>
      <c r="Z74" s="1649"/>
      <c r="AA74" s="1649"/>
      <c r="AB74" s="1655"/>
    </row>
    <row r="75" spans="1:28" s="262" customFormat="1" ht="37.9" customHeight="1" outlineLevel="1" x14ac:dyDescent="0.25">
      <c r="A75" s="459"/>
      <c r="B75" s="2309" t="s">
        <v>370</v>
      </c>
      <c r="C75" s="2309" t="s">
        <v>371</v>
      </c>
      <c r="D75" s="2311"/>
      <c r="E75" s="1515"/>
      <c r="F75" s="2332" t="s">
        <v>372</v>
      </c>
      <c r="G75" s="2316"/>
      <c r="H75" s="2333"/>
      <c r="I75" s="881"/>
      <c r="J75" s="2312" t="s">
        <v>970</v>
      </c>
      <c r="K75" s="2313"/>
      <c r="L75" s="2313"/>
      <c r="M75" s="2313"/>
      <c r="N75" s="458"/>
      <c r="O75" s="265">
        <f>O78+O80+O81+O82+O83+O84</f>
        <v>27440</v>
      </c>
      <c r="P75" s="467"/>
      <c r="Q75" s="889">
        <f>Q78+Q80+Q81+Q82+Q83+Q84</f>
        <v>2095346.1719713961</v>
      </c>
      <c r="R75" s="458"/>
      <c r="S75" s="2314">
        <f>IF(AND(Q75&lt;&gt;0,O75&lt;&gt;0),Q75/(1+$D$17+$D$18+$D$19)/(($D$25*1000000/$D$8)),0)</f>
        <v>6162.9305462513985</v>
      </c>
      <c r="T75" s="2318" t="s">
        <v>373</v>
      </c>
      <c r="U75" s="2314">
        <f>U78+U80+U81+U82+U83+U84</f>
        <v>737673.1280057088</v>
      </c>
      <c r="V75" s="467" t="s">
        <v>374</v>
      </c>
      <c r="W75" s="2314">
        <f>W78*O78+W80*O80+W81*O81+W82*O82+W83*O83+W84*O84</f>
        <v>737673.1280057088</v>
      </c>
      <c r="X75" s="467" t="s">
        <v>374</v>
      </c>
      <c r="Y75" s="865" t="s">
        <v>375</v>
      </c>
      <c r="Z75" s="151"/>
      <c r="AA75" s="151"/>
      <c r="AB75" s="473"/>
    </row>
    <row r="76" spans="1:28" s="262" customFormat="1" ht="24" customHeight="1" outlineLevel="1" x14ac:dyDescent="0.25">
      <c r="A76" s="459"/>
      <c r="B76" s="2310"/>
      <c r="C76" s="1637" t="s">
        <v>376</v>
      </c>
      <c r="D76" s="1638" t="s">
        <v>377</v>
      </c>
      <c r="E76" s="1516"/>
      <c r="F76" s="2334"/>
      <c r="G76" s="2316"/>
      <c r="H76" s="2333"/>
      <c r="I76" s="882"/>
      <c r="J76" s="2335" t="s">
        <v>378</v>
      </c>
      <c r="K76" s="2336"/>
      <c r="L76" s="2337" t="s">
        <v>379</v>
      </c>
      <c r="M76" s="2336"/>
      <c r="N76" s="458"/>
      <c r="O76" s="894" t="s">
        <v>380</v>
      </c>
      <c r="P76" s="467"/>
      <c r="Q76" s="890">
        <v>0.5</v>
      </c>
      <c r="R76" s="458"/>
      <c r="S76" s="2315"/>
      <c r="T76" s="2319"/>
      <c r="U76" s="2315"/>
      <c r="V76" s="467"/>
      <c r="W76" s="2342"/>
      <c r="X76" s="467"/>
      <c r="Y76" s="893">
        <f>$Y$33</f>
        <v>0.1</v>
      </c>
      <c r="Z76" s="151"/>
      <c r="AA76" s="151"/>
      <c r="AB76" s="473"/>
    </row>
    <row r="77" spans="1:28" s="262" customFormat="1" ht="24" customHeight="1" outlineLevel="1" x14ac:dyDescent="0.25">
      <c r="A77" s="459"/>
      <c r="B77" s="2304">
        <v>2</v>
      </c>
      <c r="C77" s="2304">
        <v>1</v>
      </c>
      <c r="D77" s="2307">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customHeight="1" outlineLevel="1" x14ac:dyDescent="0.25">
      <c r="A78" s="458"/>
      <c r="B78" s="2305"/>
      <c r="C78" s="2346"/>
      <c r="D78" s="2347"/>
      <c r="E78" s="882"/>
      <c r="F78" s="1694" t="s">
        <v>338</v>
      </c>
      <c r="G78" s="1695">
        <v>5</v>
      </c>
      <c r="H78" s="1696">
        <f>0.35-0.25</f>
        <v>9.9999999999999978E-2</v>
      </c>
      <c r="I78" s="1516"/>
      <c r="J78" s="1697">
        <f>$L$32*H78*$B$77*$C$77</f>
        <v>73.027621535760545</v>
      </c>
      <c r="K78" s="1698">
        <f>$M$32*H78*$B$77*$C$77</f>
        <v>6.0856351279800451</v>
      </c>
      <c r="L78" s="1697">
        <f>J78*$D$77</f>
        <v>91.284526919700681</v>
      </c>
      <c r="M78" s="1698">
        <f>K78*$D$77</f>
        <v>7.6070439099750562</v>
      </c>
      <c r="N78" s="458"/>
      <c r="O78" s="887">
        <v>7692</v>
      </c>
      <c r="P78" s="467"/>
      <c r="Q78" s="286">
        <f>O78*$Q$76*M78+O78*(1-$Q$76)*K78</f>
        <v>52662.043579975318</v>
      </c>
      <c r="R78" s="458"/>
      <c r="S78" s="891">
        <f>IF(AND(Q78&lt;&gt;0,O78&lt;&gt;0),Q78/(1+$D$17+$D$18+$D$19)/O78/30/(($D$25*1000000/$D$8))*1000,0)</f>
        <v>0.67122584191450152</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customHeight="1" outlineLevel="1" x14ac:dyDescent="0.25">
      <c r="A79" s="458"/>
      <c r="B79" s="2305"/>
      <c r="C79" s="2346"/>
      <c r="D79" s="2347"/>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customHeight="1" outlineLevel="1" x14ac:dyDescent="0.25">
      <c r="A80" s="458"/>
      <c r="B80" s="2305"/>
      <c r="C80" s="2346"/>
      <c r="D80" s="2347"/>
      <c r="E80" s="882"/>
      <c r="F80" s="1694">
        <f>G78</f>
        <v>5</v>
      </c>
      <c r="G80" s="1695">
        <v>20</v>
      </c>
      <c r="H80" s="1696">
        <f>0.05</f>
        <v>0.05</v>
      </c>
      <c r="I80" s="1516"/>
      <c r="J80" s="1697">
        <f>$L$32*(H78+(G80-F80)*H80)*$B$77*$C$77</f>
        <v>620.73478305396475</v>
      </c>
      <c r="K80" s="1698">
        <f>$M$32*(H78+(G80-F80)*H80)*$B$77*$C$77</f>
        <v>51.727898587830396</v>
      </c>
      <c r="L80" s="1697">
        <f t="shared" ref="L80:M84" si="4">J80*$D$77</f>
        <v>775.91847881745593</v>
      </c>
      <c r="M80" s="1698">
        <f t="shared" si="4"/>
        <v>64.659873234787995</v>
      </c>
      <c r="N80" s="458"/>
      <c r="O80" s="887">
        <v>8500</v>
      </c>
      <c r="P80" s="467"/>
      <c r="Q80" s="286">
        <f>O80*$Q$76*M80+O80*(1-$Q$76)*K80</f>
        <v>494648.03024612821</v>
      </c>
      <c r="R80" s="458"/>
      <c r="S80" s="891">
        <f>IF(AND(Q80&lt;&gt;0,O80&lt;&gt;0),Q80/(1+$D$17+$D$18+$D$19)/O80/30/(($D$25*1000000/$D$8))*1000,0)</f>
        <v>5.705419656273266</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customHeight="1" outlineLevel="1" x14ac:dyDescent="0.25">
      <c r="A81" s="458"/>
      <c r="B81" s="2305"/>
      <c r="C81" s="2346"/>
      <c r="D81" s="2347"/>
      <c r="E81" s="882"/>
      <c r="F81" s="1694">
        <f>G80</f>
        <v>20</v>
      </c>
      <c r="G81" s="1695">
        <v>30</v>
      </c>
      <c r="H81" s="1696">
        <f>0.045</f>
        <v>4.4999999999999998E-2</v>
      </c>
      <c r="I81" s="1516"/>
      <c r="J81" s="1697">
        <f>$L$32*(H78+(G80-F80)*H80+(G81-F81)*H81)*$B$77*$C$77</f>
        <v>949.35907996488709</v>
      </c>
      <c r="K81" s="1698">
        <f>$M$32*(H78+(G80-F80)*H80+(G81-F81)*H81)*$B$77*$C$77</f>
        <v>79.113256663740586</v>
      </c>
      <c r="L81" s="1697">
        <f t="shared" si="4"/>
        <v>1186.6988499561089</v>
      </c>
      <c r="M81" s="1698">
        <f t="shared" si="4"/>
        <v>98.891570829675729</v>
      </c>
      <c r="N81" s="458"/>
      <c r="O81" s="887">
        <v>2573</v>
      </c>
      <c r="P81" s="467"/>
      <c r="Q81" s="286">
        <f>O81*$Q$76*M81+O81*(1-$Q$76)*K81</f>
        <v>229003.21057028009</v>
      </c>
      <c r="R81" s="458"/>
      <c r="S81" s="891">
        <f>IF(AND(Q81&lt;&gt;0,O81&lt;&gt;0),Q81/(1+$D$17+$D$18+$D$19)/O81/30/(($D$25*1000000/$D$8))*1000,0)</f>
        <v>8.725935944888521</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customHeight="1" outlineLevel="1" x14ac:dyDescent="0.25">
      <c r="A82" s="458"/>
      <c r="B82" s="2305"/>
      <c r="C82" s="2346"/>
      <c r="D82" s="2347"/>
      <c r="E82" s="882"/>
      <c r="F82" s="1694">
        <f>G81</f>
        <v>30</v>
      </c>
      <c r="G82" s="1695">
        <v>40</v>
      </c>
      <c r="H82" s="1696">
        <f>0.04</f>
        <v>0.04</v>
      </c>
      <c r="I82" s="1516"/>
      <c r="J82" s="1697">
        <f>$L$32*(H78+(G80-F80)*H80+(G81-F81)*H81+(G82-F82)*H82)*$B$77*$C$77</f>
        <v>1241.4695661079293</v>
      </c>
      <c r="K82" s="1698">
        <f>$M$32*(H78+(G80-F80)*H80+(G81-F81)*H81+(G82-F82)*H82)*$B$77*$C$77</f>
        <v>103.45579717566078</v>
      </c>
      <c r="L82" s="1697">
        <f t="shared" si="4"/>
        <v>1551.8369576349116</v>
      </c>
      <c r="M82" s="1698">
        <f t="shared" si="4"/>
        <v>129.31974646957596</v>
      </c>
      <c r="N82" s="458"/>
      <c r="O82" s="887">
        <v>4825</v>
      </c>
      <c r="P82" s="467"/>
      <c r="Q82" s="286">
        <f>O82*$Q$76*M82+O82*(1-$Q$76)*K82</f>
        <v>561570.99904413358</v>
      </c>
      <c r="R82" s="458"/>
      <c r="S82" s="891">
        <f>IF(AND(Q82&lt;&gt;0,O82&lt;&gt;0),Q82/(1+$D$17+$D$18+$D$19)/O82/30/(($D$25*1000000/$D$8))*1000,0)</f>
        <v>11.410839312546527</v>
      </c>
      <c r="T82" s="467" t="s">
        <v>382</v>
      </c>
      <c r="U82" s="870">
        <f>S82*O82*30*$D$11*(1+$D$24)/1000</f>
        <v>197702.814457826</v>
      </c>
      <c r="V82" s="467" t="s">
        <v>383</v>
      </c>
      <c r="W82" s="870">
        <f>IF(O82&lt;&gt;0,U82/O82,0)</f>
        <v>40.974676571570157</v>
      </c>
      <c r="X82" s="467" t="s">
        <v>383</v>
      </c>
      <c r="Y82" s="287" t="str">
        <f>IF(O82=0,"-",IF(AND(((F82*(1-$Y$76))&lt;W82),(W82&lt;(G82*(1+$Y$76)))),"OK", "NOK"))</f>
        <v>OK</v>
      </c>
      <c r="Z82" s="151"/>
      <c r="AA82" s="249">
        <f>IF(OR(Y82="OK",Y82="-"),1,0)</f>
        <v>1</v>
      </c>
      <c r="AB82" s="473"/>
    </row>
    <row r="83" spans="1:28" s="262" customFormat="1" ht="24" customHeight="1" outlineLevel="1" x14ac:dyDescent="0.25">
      <c r="A83" s="458"/>
      <c r="B83" s="2305"/>
      <c r="C83" s="2346"/>
      <c r="D83" s="2347"/>
      <c r="E83" s="882"/>
      <c r="F83" s="1694">
        <f>G82</f>
        <v>40</v>
      </c>
      <c r="G83" s="1695">
        <v>55</v>
      </c>
      <c r="H83" s="1696">
        <f>0.035</f>
        <v>3.5000000000000003E-2</v>
      </c>
      <c r="I83" s="1516"/>
      <c r="J83" s="1697">
        <f>$L$32*(H78+(G80-F80)*H80+(G81-F81)*H81+(G82-F82)*H82+(G83-F83)*H83)*$B$77*$C$77</f>
        <v>1624.8645791706722</v>
      </c>
      <c r="K83" s="1698">
        <f>$M$32*(H78+(G80-F80)*H80+(G81-F81)*H81+(G82-F82)*H82+(G83-F83)*H83)*$B$77*$C$77</f>
        <v>135.40538159755602</v>
      </c>
      <c r="L83" s="1697">
        <f t="shared" si="4"/>
        <v>2031.0807239633402</v>
      </c>
      <c r="M83" s="1698">
        <f t="shared" si="4"/>
        <v>169.25672699694502</v>
      </c>
      <c r="N83" s="458"/>
      <c r="O83" s="887">
        <v>2000</v>
      </c>
      <c r="P83" s="467"/>
      <c r="Q83" s="286">
        <f>O83*$Q$76*M83+O83*(1-$Q$76)*K83</f>
        <v>304662.10859450104</v>
      </c>
      <c r="R83" s="458"/>
      <c r="S83" s="891">
        <f>IF(AND(Q83&lt;&gt;0,O83&lt;&gt;0),Q83/(1+$D$17+$D$18+$D$19)/O83/30/(($D$25*1000000/$D$8))*1000,0)</f>
        <v>14.934774982597661</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customHeight="1" outlineLevel="1" x14ac:dyDescent="0.25">
      <c r="A84" s="458"/>
      <c r="B84" s="2305"/>
      <c r="C84" s="2346"/>
      <c r="D84" s="2347"/>
      <c r="E84" s="882"/>
      <c r="F84" s="1694">
        <f>G83</f>
        <v>55</v>
      </c>
      <c r="G84" s="1695">
        <v>100</v>
      </c>
      <c r="H84" s="1696">
        <f>0.03</f>
        <v>0.03</v>
      </c>
      <c r="I84" s="1516"/>
      <c r="J84" s="1697">
        <f>$L$32*(H78+(G80-F80)*H80+(G81-F81)*H81+(G82-F82)*H82+(G83-F83)*H83+(G84-F84)*H84)*$B$77*$C$77</f>
        <v>2610.7374699034394</v>
      </c>
      <c r="K84" s="1698">
        <f>$M$32*(H78+(G80-F80)*H80+(G81-F81)*H81+(G82-F82)*H82+(G83-F83)*H83+(G84-F84)*H84)*$B$77*$C$77</f>
        <v>217.56145582528663</v>
      </c>
      <c r="L84" s="1697">
        <f t="shared" si="4"/>
        <v>3263.4218373792992</v>
      </c>
      <c r="M84" s="1698">
        <f t="shared" si="4"/>
        <v>271.95181978160826</v>
      </c>
      <c r="N84" s="458"/>
      <c r="O84" s="887">
        <v>1850</v>
      </c>
      <c r="P84" s="467"/>
      <c r="Q84" s="286">
        <f>O84*$Q$76*M84+O84*(1-$Q$76)*K84</f>
        <v>452799.77993637777</v>
      </c>
      <c r="R84" s="458"/>
      <c r="S84" s="891">
        <f>IF(AND(Q84&lt;&gt;0,O84&lt;&gt;0),Q84/(1+$D$17+$D$18+$D$19)/O84/30/(($D$25*1000000/$D$8))*1000,0)</f>
        <v>23.996323848443435</v>
      </c>
      <c r="T84" s="467" t="s">
        <v>382</v>
      </c>
      <c r="U84" s="870">
        <f>S84*O84*30*$D$11*(1+$D$24)/1000</f>
        <v>159409.56892660126</v>
      </c>
      <c r="V84" s="467" t="s">
        <v>383</v>
      </c>
      <c r="W84" s="870">
        <f>IF(O84&lt;&gt;0,U84/O84,0)</f>
        <v>86.167334554919606</v>
      </c>
      <c r="X84" s="467" t="s">
        <v>383</v>
      </c>
      <c r="Y84" s="287" t="str">
        <f>IF(O84=0,"-",IF(AND(((F84*(1-$Y$76))&lt;W84),(W84&lt;(G84*(1+$Y$76)))),"OK", "NOK"))</f>
        <v>OK</v>
      </c>
      <c r="Z84" s="151"/>
      <c r="AA84" s="249">
        <f>IF(OR(Y84="OK",Y84="-"),1,0)</f>
        <v>1</v>
      </c>
      <c r="AB84" s="473"/>
    </row>
    <row r="85" spans="1:28" s="262" customFormat="1" ht="10.15"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customHeight="1" outlineLevel="1" x14ac:dyDescent="0.25">
      <c r="A86" s="458"/>
      <c r="B86" s="2323" t="s">
        <v>387</v>
      </c>
      <c r="C86" s="2324"/>
      <c r="D86" s="2324"/>
      <c r="E86" s="2324"/>
      <c r="F86" s="2324"/>
      <c r="G86" s="2324"/>
      <c r="H86" s="2324"/>
      <c r="I86" s="2324"/>
      <c r="J86" s="2324"/>
      <c r="K86" s="2324"/>
      <c r="L86" s="2324"/>
      <c r="M86" s="2324"/>
      <c r="N86" s="458"/>
      <c r="O86" s="458"/>
      <c r="P86" s="458"/>
      <c r="Q86" s="458"/>
      <c r="R86" s="458"/>
      <c r="S86" s="458"/>
      <c r="T86" s="458"/>
      <c r="U86" s="458"/>
      <c r="V86" s="458"/>
      <c r="W86" s="459"/>
      <c r="X86" s="458"/>
      <c r="Y86" s="459"/>
      <c r="Z86" s="458"/>
      <c r="AA86" s="458"/>
      <c r="AB86" s="473"/>
    </row>
    <row r="87" spans="1:28" s="1656" customFormat="1" ht="25.15" customHeight="1" outlineLevel="1" x14ac:dyDescent="0.45">
      <c r="A87" s="1649"/>
      <c r="B87" s="2309" t="s">
        <v>369</v>
      </c>
      <c r="C87" s="2316"/>
      <c r="D87" s="2316"/>
      <c r="E87" s="2317"/>
      <c r="F87" s="2316"/>
      <c r="G87" s="2316"/>
      <c r="H87" s="2316"/>
      <c r="I87" s="2317"/>
      <c r="J87" s="2316"/>
      <c r="K87" s="2316"/>
      <c r="L87" s="2316"/>
      <c r="M87" s="2316"/>
      <c r="N87" s="1649"/>
      <c r="O87" s="1651">
        <f>G10</f>
        <v>5</v>
      </c>
      <c r="P87" s="1658"/>
      <c r="Q87" s="1649"/>
      <c r="R87" s="1649"/>
      <c r="S87" s="1649"/>
      <c r="T87" s="1649"/>
      <c r="U87" s="1649"/>
      <c r="V87" s="1649"/>
      <c r="W87" s="1654"/>
      <c r="X87" s="1649"/>
      <c r="Y87" s="1654"/>
      <c r="Z87" s="1649"/>
      <c r="AA87" s="1649"/>
      <c r="AB87" s="1655"/>
    </row>
    <row r="88" spans="1:28" s="262" customFormat="1" ht="46.9" customHeight="1" outlineLevel="1" x14ac:dyDescent="0.25">
      <c r="A88" s="458"/>
      <c r="B88" s="2309" t="s">
        <v>370</v>
      </c>
      <c r="C88" s="2309" t="s">
        <v>371</v>
      </c>
      <c r="D88" s="2311"/>
      <c r="E88" s="1515"/>
      <c r="F88" s="2332" t="s">
        <v>372</v>
      </c>
      <c r="G88" s="2316"/>
      <c r="H88" s="2333"/>
      <c r="I88" s="881"/>
      <c r="J88" s="2312" t="s">
        <v>970</v>
      </c>
      <c r="K88" s="2313"/>
      <c r="L88" s="2313"/>
      <c r="M88" s="2313"/>
      <c r="N88" s="458"/>
      <c r="O88" s="287">
        <f>O91+O93+O94+O95+O96</f>
        <v>5</v>
      </c>
      <c r="P88" s="467"/>
      <c r="Q88" s="889">
        <f>Q91+Q93+Q94+Q95+Q96</f>
        <v>1773.9626398061835</v>
      </c>
      <c r="R88" s="458"/>
      <c r="S88" s="2314">
        <f>IF(AND(Q88&lt;&gt;0,O88&lt;&gt;0),Q88/(1+$D$17+$D$18+$D$19)/(($D$25*1000000/$D$8)),0)</f>
        <v>5.2176622111487267</v>
      </c>
      <c r="T88" s="2318" t="s">
        <v>373</v>
      </c>
      <c r="U88" s="2314">
        <f>U91+U93+U94+U95+U96+Z97</f>
        <v>624.52905728693872</v>
      </c>
      <c r="V88" s="458" t="s">
        <v>374</v>
      </c>
      <c r="W88" s="2314">
        <f>W91*O91+W93*O93+W94*O94+W95*O95+W96*O96</f>
        <v>624.52905728693872</v>
      </c>
      <c r="X88" s="467" t="s">
        <v>374</v>
      </c>
      <c r="Y88" s="865" t="s">
        <v>375</v>
      </c>
      <c r="Z88" s="151"/>
      <c r="AA88" s="151"/>
      <c r="AB88" s="473"/>
    </row>
    <row r="89" spans="1:28" s="262" customFormat="1" ht="24" customHeight="1" outlineLevel="1" x14ac:dyDescent="0.25">
      <c r="A89" s="458"/>
      <c r="B89" s="2310"/>
      <c r="C89" s="1637" t="s">
        <v>376</v>
      </c>
      <c r="D89" s="1638" t="s">
        <v>377</v>
      </c>
      <c r="E89" s="1516"/>
      <c r="F89" s="2334"/>
      <c r="G89" s="2316"/>
      <c r="H89" s="2333"/>
      <c r="I89" s="882"/>
      <c r="J89" s="2335" t="s">
        <v>378</v>
      </c>
      <c r="K89" s="2336"/>
      <c r="L89" s="2337" t="s">
        <v>379</v>
      </c>
      <c r="M89" s="2336"/>
      <c r="N89" s="458"/>
      <c r="O89" s="894" t="s">
        <v>380</v>
      </c>
      <c r="P89" s="467"/>
      <c r="Q89" s="890">
        <v>0.25</v>
      </c>
      <c r="R89" s="458"/>
      <c r="S89" s="2315"/>
      <c r="T89" s="2319"/>
      <c r="U89" s="2315"/>
      <c r="V89" s="458"/>
      <c r="W89" s="2342"/>
      <c r="X89" s="467"/>
      <c r="Y89" s="893">
        <f>$Y$33</f>
        <v>0.1</v>
      </c>
      <c r="Z89" s="151"/>
      <c r="AA89" s="151"/>
      <c r="AB89" s="473"/>
    </row>
    <row r="90" spans="1:28" s="262" customFormat="1" ht="24" customHeight="1" outlineLevel="1" x14ac:dyDescent="0.25">
      <c r="A90" s="458"/>
      <c r="B90" s="2304">
        <v>2</v>
      </c>
      <c r="C90" s="2304">
        <v>1</v>
      </c>
      <c r="D90" s="2307">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customHeight="1" outlineLevel="1" x14ac:dyDescent="0.25">
      <c r="A91" s="458"/>
      <c r="B91" s="2305"/>
      <c r="C91" s="2306"/>
      <c r="D91" s="2308"/>
      <c r="E91" s="882"/>
      <c r="F91" s="1694" t="s">
        <v>338</v>
      </c>
      <c r="G91" s="1695">
        <v>5</v>
      </c>
      <c r="H91" s="1696">
        <v>0.35</v>
      </c>
      <c r="I91" s="1516"/>
      <c r="J91" s="1697">
        <f>$L$32*H91*$B$90*$C$90</f>
        <v>255.59667537516194</v>
      </c>
      <c r="K91" s="1698">
        <f>$M$32*H91*$B$90*$C$90</f>
        <v>21.29972294793016</v>
      </c>
      <c r="L91" s="1697">
        <f>J91*$D$90</f>
        <v>306.71601045019429</v>
      </c>
      <c r="M91" s="1698">
        <f>K91*$D$90</f>
        <v>25.559667537516191</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customHeight="1" outlineLevel="1" x14ac:dyDescent="0.25">
      <c r="A92" s="458"/>
      <c r="B92" s="2305"/>
      <c r="C92" s="2306"/>
      <c r="D92" s="2308"/>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customHeight="1" outlineLevel="1" x14ac:dyDescent="0.25">
      <c r="A93" s="458"/>
      <c r="B93" s="2305"/>
      <c r="C93" s="2306"/>
      <c r="D93" s="2308"/>
      <c r="E93" s="882"/>
      <c r="F93" s="1694">
        <f>G91</f>
        <v>5</v>
      </c>
      <c r="G93" s="1695">
        <v>30</v>
      </c>
      <c r="H93" s="1696">
        <v>0.05</v>
      </c>
      <c r="I93" s="1516"/>
      <c r="J93" s="1697">
        <f>$L$32*(H91+(G93-F93)*H93)*$B$90*$C$90</f>
        <v>1168.4419445721689</v>
      </c>
      <c r="K93" s="1698">
        <f>$M$32*(H91+(G93-F93)*H93)*$B$90*$C$90</f>
        <v>97.370162047680751</v>
      </c>
      <c r="L93" s="1697">
        <f t="shared" ref="L93:M96" si="5">J93*$D$90</f>
        <v>1402.1303334866027</v>
      </c>
      <c r="M93" s="1698">
        <f t="shared" si="5"/>
        <v>116.8441944572169</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customHeight="1" outlineLevel="1" x14ac:dyDescent="0.25">
      <c r="A94" s="458"/>
      <c r="B94" s="2305"/>
      <c r="C94" s="2306"/>
      <c r="D94" s="2308"/>
      <c r="E94" s="882"/>
      <c r="F94" s="1694">
        <f>G93</f>
        <v>30</v>
      </c>
      <c r="G94" s="1695">
        <v>100</v>
      </c>
      <c r="H94" s="1696">
        <v>0.03</v>
      </c>
      <c r="I94" s="1516"/>
      <c r="J94" s="1697">
        <f>$L$32*(H91+(G93-F93)*H93+(G94-F94)*H94)*$B$90*$C$90</f>
        <v>2702.0219968231409</v>
      </c>
      <c r="K94" s="1698">
        <f>$M$32*(H91+(G93-F93)*H93+(G94-F94)*H94)*$B$90*$C$90</f>
        <v>225.16849973526172</v>
      </c>
      <c r="L94" s="1697">
        <f t="shared" si="5"/>
        <v>3242.4263961877691</v>
      </c>
      <c r="M94" s="1698">
        <f t="shared" si="5"/>
        <v>270.20219968231407</v>
      </c>
      <c r="N94" s="458"/>
      <c r="O94" s="887">
        <v>4</v>
      </c>
      <c r="P94" s="467"/>
      <c r="Q94" s="286">
        <f>O94*$Q$76*M94+O94*(1-$Q$76)*K94</f>
        <v>990.74139883515159</v>
      </c>
      <c r="R94" s="458"/>
      <c r="S94" s="891">
        <f>IF(AND(Q94&lt;&gt;0,O94&lt;&gt;0),Q94/(1+$D$17+$D$18+$D$19)/O94/30/(($D$25*1000000/$D$8))*1000,0)</f>
        <v>24.283459347484641</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customHeight="1" outlineLevel="1" x14ac:dyDescent="0.25">
      <c r="A95" s="458"/>
      <c r="B95" s="2305"/>
      <c r="C95" s="2306"/>
      <c r="D95" s="2308"/>
      <c r="E95" s="882"/>
      <c r="F95" s="1694">
        <f>G94</f>
        <v>100</v>
      </c>
      <c r="G95" s="1695">
        <v>500</v>
      </c>
      <c r="H95" s="1696">
        <v>0.02</v>
      </c>
      <c r="I95" s="1516"/>
      <c r="J95" s="1697">
        <f>$L$32*(H91+(G93-F93)*H93+(G94-F94)*H94+(G95-F95)*H95)*$B$90*$C$90</f>
        <v>8544.2317196839849</v>
      </c>
      <c r="K95" s="1698">
        <f>$M$32*(H91+(G93-F93)*H93+(G94-F94)*H94+(G95-F95)*H95)*$B$90*$C$90</f>
        <v>712.01930997366537</v>
      </c>
      <c r="L95" s="1697">
        <f t="shared" si="5"/>
        <v>10253.078063620782</v>
      </c>
      <c r="M95" s="1698">
        <f t="shared" si="5"/>
        <v>854.42317196839838</v>
      </c>
      <c r="N95" s="458"/>
      <c r="O95" s="887">
        <v>1</v>
      </c>
      <c r="P95" s="467"/>
      <c r="Q95" s="286">
        <f>O95*$Q$76*M95+O95*(1-$Q$76)*K95</f>
        <v>783.22124097103188</v>
      </c>
      <c r="R95" s="458"/>
      <c r="S95" s="891">
        <f>IF(AND(Q95&lt;&gt;0,O95&lt;&gt;0),Q95/(1+$D$17+$D$18+$D$19)/O95/30/(($D$25*1000000/$D$8))*1000,0)</f>
        <v>76.788236315018992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customHeight="1" outlineLevel="1" x14ac:dyDescent="0.25">
      <c r="A96" s="458"/>
      <c r="B96" s="2305"/>
      <c r="C96" s="2306"/>
      <c r="D96" s="2308"/>
      <c r="E96" s="882"/>
      <c r="F96" s="1694">
        <f>G95</f>
        <v>500</v>
      </c>
      <c r="G96" s="1695">
        <v>1000</v>
      </c>
      <c r="H96" s="1696">
        <v>0.01</v>
      </c>
      <c r="I96" s="1516"/>
      <c r="J96" s="1697">
        <f>$L$32*(H91+(G93-F93)*H93+(G94-F94)*H94+(G95-F95)*H95+(G96-F96)*H96)*$B$90*$C$90</f>
        <v>12195.612796472013</v>
      </c>
      <c r="K96" s="1698">
        <f>$M$32*(H91+(G93-F93)*H93+(G94-F94)*H94+(G95-F95)*H95+(G96-F96)*H96)*$B$90*$C$90</f>
        <v>1016.3010663726677</v>
      </c>
      <c r="L96" s="1697">
        <f t="shared" si="5"/>
        <v>14634.735355766416</v>
      </c>
      <c r="M96" s="1698">
        <f t="shared" si="5"/>
        <v>1219.5612796472012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E16" sqref="E16"/>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1099</v>
      </c>
      <c r="E1" s="1588"/>
      <c r="F1" s="1588"/>
      <c r="G1" s="1588"/>
      <c r="H1" s="1588"/>
      <c r="I1" s="1588"/>
      <c r="J1" s="1588"/>
      <c r="K1" s="1588"/>
      <c r="L1" s="1588"/>
      <c r="M1" s="1588"/>
      <c r="N1" s="1588"/>
      <c r="O1" s="1588"/>
      <c r="P1" s="1588"/>
      <c r="Q1" s="1588"/>
      <c r="R1" s="1589"/>
      <c r="S1" s="1588"/>
    </row>
    <row r="2" spans="1:20" s="206" customFormat="1" ht="25.15" customHeight="1" x14ac:dyDescent="0.25">
      <c r="B2" s="2359" t="s">
        <v>869</v>
      </c>
      <c r="C2" s="2359"/>
      <c r="D2" s="2359"/>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9"/>
      <c r="C3" s="2359"/>
      <c r="D3" s="2359"/>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9"/>
      <c r="C4" s="2359"/>
      <c r="D4" s="2359"/>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1101</v>
      </c>
      <c r="D6" s="1977" t="s">
        <v>1100</v>
      </c>
      <c r="E6" s="1484"/>
      <c r="F6" s="2356" t="s">
        <v>389</v>
      </c>
      <c r="G6" s="2357"/>
      <c r="H6" s="2358"/>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-97.370397854794447</v>
      </c>
      <c r="H8" s="1965">
        <f>SUMIF(C33:BC33,1,C178:BC178)</f>
        <v>-103.74773284515892</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-2.6033657088647355E-2</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0.72255047376280834</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-0.12214665708864735</v>
      </c>
      <c r="H10" s="1968">
        <f>H9-C28</f>
        <v>0.62643747376280834</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359.28646448085135</v>
      </c>
      <c r="H11" s="1970">
        <f>SUMIF(C33:BC33,1,C63:BC63)</f>
        <v>359.28646448085135</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1101</v>
      </c>
      <c r="D12" s="1979" t="s">
        <v>1100</v>
      </c>
      <c r="F12" s="1966" t="s">
        <v>397</v>
      </c>
      <c r="G12" s="1967">
        <f>G8/G11</f>
        <v>-0.27101048183234283</v>
      </c>
      <c r="H12" s="1968">
        <f>H8/H11</f>
        <v>-0.28876048251655828</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48.234068932792724</v>
      </c>
      <c r="H13" s="1973">
        <f>IF(H8&lt;0,SUM(C183:BC183),SUM(C183:BC183))</f>
        <v>44.460084697853418</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0.72898951816765722</v>
      </c>
      <c r="H14" s="1976">
        <f>(SUMIF(C33:BC33,1,C178:BC178)+SUMIF(C33:BC33,1,C63:BC63))/SUMIF(C33:BC33,1,C63:BC63)</f>
        <v>0.71123951748344172</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70"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71"/>
      <c r="G17" s="2374" t="s">
        <v>873</v>
      </c>
      <c r="H17" s="2376"/>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71"/>
      <c r="G18" s="2375"/>
      <c r="H18" s="2377"/>
      <c r="I18" s="1941"/>
      <c r="J18" s="1469"/>
      <c r="K18" s="293"/>
      <c r="L18" s="293"/>
      <c r="M18" s="293"/>
      <c r="N18" s="293"/>
      <c r="O18" s="293"/>
      <c r="P18" s="293"/>
      <c r="Q18" s="293"/>
      <c r="R18" s="293"/>
      <c r="S18" s="295"/>
    </row>
    <row r="19" spans="1:58" s="206" customFormat="1" ht="2.65" customHeight="1" outlineLevel="1" x14ac:dyDescent="0.25">
      <c r="B19" s="1918"/>
      <c r="C19" s="1954"/>
      <c r="D19" s="1932"/>
      <c r="F19" s="2371"/>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1104</v>
      </c>
      <c r="D20" s="2004" t="s">
        <v>1104</v>
      </c>
      <c r="F20" s="2371"/>
      <c r="G20" s="1473">
        <v>4.3499999999999997E-2</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4.3499999999999997E-2</v>
      </c>
      <c r="D21" s="2095">
        <v>4.3499999999999997E-2</v>
      </c>
      <c r="E21" s="206" t="s">
        <v>399</v>
      </c>
      <c r="F21" s="2371"/>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71"/>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72"/>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73" t="s">
        <v>1102</v>
      </c>
      <c r="G26" s="2365"/>
      <c r="H26" s="1470">
        <f>'R&amp;C-Painel de Controle'!D33</f>
        <v>268.77733415910234</v>
      </c>
      <c r="I26" s="1608" t="s">
        <v>295</v>
      </c>
      <c r="J26" s="1606"/>
      <c r="K26" s="2364" t="s">
        <v>653</v>
      </c>
      <c r="L26" s="2365"/>
      <c r="M26" s="1471">
        <f>G8</f>
        <v>-97.370397854794447</v>
      </c>
      <c r="N26" s="1608" t="s">
        <v>304</v>
      </c>
      <c r="O26" s="2354" t="s">
        <v>654</v>
      </c>
      <c r="P26" s="2354"/>
      <c r="Q26" s="2355"/>
      <c r="R26" s="1472">
        <f>G14</f>
        <v>0.72898951816765722</v>
      </c>
      <c r="S26" s="1610" t="s">
        <v>195</v>
      </c>
      <c r="T26" s="293"/>
    </row>
    <row r="27" spans="1:58" s="206" customFormat="1" ht="19.899999999999999" customHeight="1" outlineLevel="1" thickTop="1" x14ac:dyDescent="0.25">
      <c r="B27" s="1924" t="s">
        <v>401</v>
      </c>
      <c r="C27" s="1961" t="s">
        <v>289</v>
      </c>
      <c r="D27" s="1981" t="s">
        <v>289</v>
      </c>
      <c r="F27" s="2369" t="s">
        <v>655</v>
      </c>
      <c r="G27" s="2367"/>
      <c r="H27" s="911">
        <f>'R&amp;C-Painel de Controle'!D32</f>
        <v>35</v>
      </c>
      <c r="I27" s="1609" t="s">
        <v>388</v>
      </c>
      <c r="J27" s="1607"/>
      <c r="K27" s="2366" t="s">
        <v>656</v>
      </c>
      <c r="L27" s="2367"/>
      <c r="M27" s="912">
        <f>G9</f>
        <v>-2.6033657088647355E-2</v>
      </c>
      <c r="N27" s="1609" t="s">
        <v>195</v>
      </c>
      <c r="O27" s="1607"/>
      <c r="P27" s="1611"/>
      <c r="Q27" s="1612"/>
      <c r="R27" s="1612"/>
      <c r="S27" s="1613"/>
      <c r="T27" s="293"/>
    </row>
    <row r="28" spans="1:58" s="206" customFormat="1" ht="18" customHeight="1" outlineLevel="1" thickBot="1" x14ac:dyDescent="0.3">
      <c r="B28" s="1928" t="s">
        <v>668</v>
      </c>
      <c r="C28" s="1962">
        <f>C14*C16+C18*C21*(1-(C25+C26))</f>
        <v>9.611299999999999E-2</v>
      </c>
      <c r="D28" s="1933">
        <f>D14*D16+D18*D21*(1-(D25+D26))</f>
        <v>5.7596999999999995E-2</v>
      </c>
      <c r="E28" s="206" t="s">
        <v>399</v>
      </c>
      <c r="F28" s="2360" t="s">
        <v>657</v>
      </c>
      <c r="G28" s="2361"/>
      <c r="H28" s="1988">
        <f>H26*('R&amp;C-Painel de Controle'!D7*30/'R&amp;C-Painel de Controle'!D6)</f>
        <v>12.048051407652238</v>
      </c>
      <c r="I28" s="1989" t="s">
        <v>299</v>
      </c>
      <c r="J28" s="1607"/>
      <c r="K28" s="2368" t="s">
        <v>658</v>
      </c>
      <c r="L28" s="2361"/>
      <c r="M28" s="1990">
        <f>G13</f>
        <v>48.234068932792724</v>
      </c>
      <c r="N28" s="1609" t="s">
        <v>388</v>
      </c>
      <c r="O28" s="1607"/>
      <c r="P28" s="1607"/>
      <c r="Q28" s="1607"/>
      <c r="R28" s="1607"/>
      <c r="S28" s="1613"/>
      <c r="T28" s="293"/>
    </row>
    <row r="29" spans="1:58" s="206" customFormat="1" ht="18" customHeight="1" outlineLevel="1" thickTop="1" thickBot="1" x14ac:dyDescent="0.3">
      <c r="B29" s="324"/>
      <c r="F29" s="2362" t="s">
        <v>1103</v>
      </c>
      <c r="G29" s="2363"/>
      <c r="H29" s="1991">
        <f>'R&amp;C-Painel de Controle'!H33</f>
        <v>288.27317615198319</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658.81058263056013</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191880</v>
      </c>
      <c r="D35" s="304">
        <f>C35*(1+$C$8)</f>
        <v>192781.83599999998</v>
      </c>
      <c r="E35" s="304">
        <f t="shared" ref="E35:AI35" si="4">D35*(1+$C$8)</f>
        <v>193687.91062919996</v>
      </c>
      <c r="F35" s="304">
        <f t="shared" si="4"/>
        <v>194598.2438091572</v>
      </c>
      <c r="G35" s="304">
        <f t="shared" si="4"/>
        <v>195512.85555506023</v>
      </c>
      <c r="H35" s="304">
        <f t="shared" si="4"/>
        <v>196431.765976169</v>
      </c>
      <c r="I35" s="304">
        <f t="shared" si="4"/>
        <v>197354.99527625699</v>
      </c>
      <c r="J35" s="304">
        <f t="shared" si="4"/>
        <v>198282.56375405539</v>
      </c>
      <c r="K35" s="304">
        <f t="shared" si="4"/>
        <v>199214.49180369943</v>
      </c>
      <c r="L35" s="304">
        <f t="shared" si="4"/>
        <v>200150.79991517682</v>
      </c>
      <c r="M35" s="304">
        <f t="shared" si="4"/>
        <v>201091.50867477813</v>
      </c>
      <c r="N35" s="304">
        <f t="shared" si="4"/>
        <v>202036.63876554958</v>
      </c>
      <c r="O35" s="304">
        <f t="shared" si="4"/>
        <v>202986.21096774764</v>
      </c>
      <c r="P35" s="304">
        <f t="shared" si="4"/>
        <v>203940.24615929605</v>
      </c>
      <c r="Q35" s="304">
        <f t="shared" si="4"/>
        <v>204898.76531624471</v>
      </c>
      <c r="R35" s="304">
        <f t="shared" si="4"/>
        <v>205861.78951323105</v>
      </c>
      <c r="S35" s="304">
        <f t="shared" si="4"/>
        <v>206829.33992394322</v>
      </c>
      <c r="T35" s="304">
        <f t="shared" si="4"/>
        <v>207801.43782158574</v>
      </c>
      <c r="U35" s="304">
        <f t="shared" si="4"/>
        <v>208778.10457934719</v>
      </c>
      <c r="V35" s="304">
        <f t="shared" si="4"/>
        <v>209759.3616708701</v>
      </c>
      <c r="W35" s="304">
        <f t="shared" si="4"/>
        <v>210745.23067072316</v>
      </c>
      <c r="X35" s="304">
        <f t="shared" si="4"/>
        <v>211735.73325487555</v>
      </c>
      <c r="Y35" s="304">
        <f t="shared" si="4"/>
        <v>212730.89120117345</v>
      </c>
      <c r="Z35" s="304">
        <f t="shared" si="4"/>
        <v>213730.72638981894</v>
      </c>
      <c r="AA35" s="304">
        <f t="shared" si="4"/>
        <v>214735.26080385107</v>
      </c>
      <c r="AB35" s="304">
        <f t="shared" si="4"/>
        <v>215744.51652962915</v>
      </c>
      <c r="AC35" s="304">
        <f t="shared" si="4"/>
        <v>216758.51575731838</v>
      </c>
      <c r="AD35" s="304">
        <f t="shared" si="4"/>
        <v>217777.28078137778</v>
      </c>
      <c r="AE35" s="304">
        <f t="shared" si="4"/>
        <v>218800.83400105024</v>
      </c>
      <c r="AF35" s="304">
        <f t="shared" si="4"/>
        <v>219829.19792085516</v>
      </c>
      <c r="AG35" s="304">
        <f t="shared" si="4"/>
        <v>220862.39515108315</v>
      </c>
      <c r="AH35" s="304">
        <f t="shared" si="4"/>
        <v>221900.44840829322</v>
      </c>
      <c r="AI35" s="304">
        <f t="shared" si="4"/>
        <v>222943.38051581217</v>
      </c>
      <c r="AJ35" s="304">
        <f t="shared" ref="AJ35:BC35" si="5">AI35*(1+$C$8)</f>
        <v>223991.21440423647</v>
      </c>
      <c r="AK35" s="304">
        <f t="shared" si="5"/>
        <v>225043.97311193636</v>
      </c>
      <c r="AL35" s="304">
        <f t="shared" si="5"/>
        <v>226101.67978556245</v>
      </c>
      <c r="AM35" s="304">
        <f t="shared" si="5"/>
        <v>227164.35768055456</v>
      </c>
      <c r="AN35" s="304">
        <f t="shared" si="5"/>
        <v>228232.03016165315</v>
      </c>
      <c r="AO35" s="304">
        <f t="shared" si="5"/>
        <v>229304.7207034129</v>
      </c>
      <c r="AP35" s="304">
        <f t="shared" si="5"/>
        <v>230382.45289071891</v>
      </c>
      <c r="AQ35" s="304">
        <f t="shared" si="5"/>
        <v>231465.25041930526</v>
      </c>
      <c r="AR35" s="304">
        <f t="shared" si="5"/>
        <v>232553.13709627598</v>
      </c>
      <c r="AS35" s="304">
        <f t="shared" si="5"/>
        <v>233646.13684062846</v>
      </c>
      <c r="AT35" s="304">
        <f t="shared" si="5"/>
        <v>234744.27368377941</v>
      </c>
      <c r="AU35" s="304">
        <f t="shared" si="5"/>
        <v>235847.57177009314</v>
      </c>
      <c r="AV35" s="304">
        <f t="shared" si="5"/>
        <v>236956.05535741255</v>
      </c>
      <c r="AW35" s="304">
        <f t="shared" si="5"/>
        <v>238069.74881759236</v>
      </c>
      <c r="AX35" s="304">
        <f t="shared" si="5"/>
        <v>239188.67663703504</v>
      </c>
      <c r="AY35" s="304">
        <f t="shared" si="5"/>
        <v>240312.86341722909</v>
      </c>
      <c r="AZ35" s="304">
        <f t="shared" si="5"/>
        <v>241442.33387529006</v>
      </c>
      <c r="BA35" s="304">
        <f t="shared" si="5"/>
        <v>242577.11284450389</v>
      </c>
      <c r="BB35" s="304">
        <f t="shared" si="5"/>
        <v>243717.22527487305</v>
      </c>
      <c r="BC35" s="304">
        <f t="shared" si="5"/>
        <v>244862.69623366493</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192495.00000000003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193399.72650000002</v>
      </c>
      <c r="G42" s="333">
        <f t="shared" si="10"/>
        <v>193399.72650000002</v>
      </c>
      <c r="H42" s="333">
        <f t="shared" si="10"/>
        <v>193399.72650000002</v>
      </c>
      <c r="I42" s="333">
        <f t="shared" si="10"/>
        <v>193399.72650000002</v>
      </c>
      <c r="J42" s="333">
        <f t="shared" si="10"/>
        <v>193399.72650000002</v>
      </c>
      <c r="K42" s="333">
        <f t="shared" si="10"/>
        <v>193399.72650000002</v>
      </c>
      <c r="L42" s="333">
        <f t="shared" si="10"/>
        <v>193399.72650000002</v>
      </c>
      <c r="M42" s="333">
        <f t="shared" si="10"/>
        <v>193399.72650000002</v>
      </c>
      <c r="N42" s="333">
        <f t="shared" si="10"/>
        <v>193399.72650000002</v>
      </c>
      <c r="O42" s="333">
        <f t="shared" si="10"/>
        <v>193399.72650000002</v>
      </c>
      <c r="P42" s="333">
        <f t="shared" si="10"/>
        <v>193399.72650000002</v>
      </c>
      <c r="Q42" s="333">
        <f t="shared" si="10"/>
        <v>193399.72650000002</v>
      </c>
      <c r="R42" s="333">
        <f t="shared" ref="R42:BC42" si="11">Q42*(1+$C$8)</f>
        <v>194308.70521454999</v>
      </c>
      <c r="S42" s="333">
        <f t="shared" si="11"/>
        <v>195221.95612905835</v>
      </c>
      <c r="T42" s="333">
        <f t="shared" si="11"/>
        <v>196139.49932286493</v>
      </c>
      <c r="U42" s="333">
        <f t="shared" si="11"/>
        <v>197061.35496968238</v>
      </c>
      <c r="V42" s="333">
        <f t="shared" si="11"/>
        <v>197987.54333803986</v>
      </c>
      <c r="W42" s="333">
        <f t="shared" si="11"/>
        <v>198918.08479172864</v>
      </c>
      <c r="X42" s="333">
        <f t="shared" si="11"/>
        <v>199852.99979024974</v>
      </c>
      <c r="Y42" s="333">
        <f t="shared" si="11"/>
        <v>200792.30888926389</v>
      </c>
      <c r="Z42" s="333">
        <f t="shared" si="11"/>
        <v>201736.03274104343</v>
      </c>
      <c r="AA42" s="333">
        <f t="shared" si="11"/>
        <v>202684.19209492631</v>
      </c>
      <c r="AB42" s="333">
        <f t="shared" si="11"/>
        <v>203636.80779777246</v>
      </c>
      <c r="AC42" s="333">
        <f t="shared" si="11"/>
        <v>204593.90079442196</v>
      </c>
      <c r="AD42" s="333">
        <f t="shared" si="11"/>
        <v>205555.49212815572</v>
      </c>
      <c r="AE42" s="333">
        <f t="shared" si="11"/>
        <v>206521.60294115802</v>
      </c>
      <c r="AF42" s="333">
        <f t="shared" si="11"/>
        <v>207492.25447498146</v>
      </c>
      <c r="AG42" s="333">
        <f t="shared" si="11"/>
        <v>208467.46807101386</v>
      </c>
      <c r="AH42" s="333">
        <f t="shared" si="11"/>
        <v>209447.26517094762</v>
      </c>
      <c r="AI42" s="333">
        <f t="shared" si="11"/>
        <v>210431.66731725106</v>
      </c>
      <c r="AJ42" s="333">
        <f t="shared" si="11"/>
        <v>211420.69615364211</v>
      </c>
      <c r="AK42" s="333">
        <f t="shared" si="11"/>
        <v>212414.3734255642</v>
      </c>
      <c r="AL42" s="333">
        <f t="shared" si="11"/>
        <v>213412.72098066434</v>
      </c>
      <c r="AM42" s="333">
        <f t="shared" si="11"/>
        <v>214415.76076927345</v>
      </c>
      <c r="AN42" s="333">
        <f t="shared" si="11"/>
        <v>215423.51484488902</v>
      </c>
      <c r="AO42" s="333">
        <f t="shared" si="11"/>
        <v>216436.00536466</v>
      </c>
      <c r="AP42" s="333">
        <f t="shared" si="11"/>
        <v>217453.25458987389</v>
      </c>
      <c r="AQ42" s="333">
        <f t="shared" si="11"/>
        <v>218475.28488644629</v>
      </c>
      <c r="AR42" s="333">
        <f t="shared" si="11"/>
        <v>219502.11872541255</v>
      </c>
      <c r="AS42" s="333">
        <f t="shared" si="11"/>
        <v>220533.77868342199</v>
      </c>
      <c r="AT42" s="333">
        <f t="shared" si="11"/>
        <v>221570.28744323406</v>
      </c>
      <c r="AU42" s="333">
        <f t="shared" si="11"/>
        <v>222611.66779421724</v>
      </c>
      <c r="AV42" s="333">
        <f t="shared" si="11"/>
        <v>223657.94263285006</v>
      </c>
      <c r="AW42" s="333">
        <f t="shared" si="11"/>
        <v>224709.13496322444</v>
      </c>
      <c r="AX42" s="333">
        <f t="shared" si="11"/>
        <v>225765.26789755159</v>
      </c>
      <c r="AY42" s="333">
        <f t="shared" si="11"/>
        <v>226826.36465667008</v>
      </c>
      <c r="AZ42" s="333">
        <f t="shared" si="11"/>
        <v>227892.44857055641</v>
      </c>
      <c r="BA42" s="333">
        <f t="shared" si="11"/>
        <v>228963.543078838</v>
      </c>
      <c r="BB42" s="333">
        <f t="shared" si="11"/>
        <v>230039.67173130854</v>
      </c>
      <c r="BC42" s="333">
        <f t="shared" si="11"/>
        <v>231120.85818844568</v>
      </c>
      <c r="BD42" s="305"/>
      <c r="BE42" s="305"/>
      <c r="BF42" s="305"/>
    </row>
    <row r="43" spans="1:58" s="206" customFormat="1" ht="18" hidden="1" customHeight="1" outlineLevel="1" x14ac:dyDescent="0.25">
      <c r="B43" s="906" t="str">
        <f>B71</f>
        <v>Produção de CDR TM — Trat. Mec.</v>
      </c>
      <c r="C43" s="325" t="str">
        <f>C71</f>
        <v>Sim</v>
      </c>
      <c r="D43" s="325">
        <f>'R&amp;C-Painel de Controle'!H58</f>
        <v>72763.11</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73105.096616999988</v>
      </c>
      <c r="G45" s="333">
        <f t="shared" si="13"/>
        <v>73105.096616999988</v>
      </c>
      <c r="H45" s="333">
        <f t="shared" si="13"/>
        <v>73105.096616999988</v>
      </c>
      <c r="I45" s="333">
        <f t="shared" si="13"/>
        <v>73105.096616999988</v>
      </c>
      <c r="J45" s="333">
        <f t="shared" si="13"/>
        <v>73105.096616999988</v>
      </c>
      <c r="K45" s="333">
        <f t="shared" si="13"/>
        <v>73105.096616999988</v>
      </c>
      <c r="L45" s="333">
        <f t="shared" si="13"/>
        <v>73105.096616999988</v>
      </c>
      <c r="M45" s="333">
        <f t="shared" si="13"/>
        <v>73105.096616999988</v>
      </c>
      <c r="N45" s="333">
        <f t="shared" si="13"/>
        <v>73105.096616999988</v>
      </c>
      <c r="O45" s="333">
        <f t="shared" si="13"/>
        <v>73105.096616999988</v>
      </c>
      <c r="P45" s="333">
        <f t="shared" si="13"/>
        <v>73105.096616999988</v>
      </c>
      <c r="Q45" s="333">
        <f t="shared" si="13"/>
        <v>73105.096616999988</v>
      </c>
      <c r="R45" s="333">
        <f t="shared" ref="R45:BC45" si="14">Q45*(1+$C$8)</f>
        <v>73448.690571099884</v>
      </c>
      <c r="S45" s="333">
        <f t="shared" si="14"/>
        <v>73793.899416784043</v>
      </c>
      <c r="T45" s="333">
        <f t="shared" si="14"/>
        <v>74140.730744042929</v>
      </c>
      <c r="U45" s="333">
        <f t="shared" si="14"/>
        <v>74489.192178539932</v>
      </c>
      <c r="V45" s="333">
        <f t="shared" si="14"/>
        <v>74839.291381779069</v>
      </c>
      <c r="W45" s="333">
        <f t="shared" si="14"/>
        <v>75191.036051273419</v>
      </c>
      <c r="X45" s="333">
        <f t="shared" si="14"/>
        <v>75544.433920714393</v>
      </c>
      <c r="Y45" s="333">
        <f t="shared" si="14"/>
        <v>75899.492760141744</v>
      </c>
      <c r="Z45" s="333">
        <f t="shared" si="14"/>
        <v>76256.220376114405</v>
      </c>
      <c r="AA45" s="333">
        <f t="shared" si="14"/>
        <v>76614.624611882144</v>
      </c>
      <c r="AB45" s="333">
        <f t="shared" si="14"/>
        <v>76974.71334755799</v>
      </c>
      <c r="AC45" s="333">
        <f t="shared" si="14"/>
        <v>77336.494500291505</v>
      </c>
      <c r="AD45" s="333">
        <f t="shared" si="14"/>
        <v>77699.976024442876</v>
      </c>
      <c r="AE45" s="333">
        <f t="shared" si="14"/>
        <v>78065.165911757751</v>
      </c>
      <c r="AF45" s="333">
        <f t="shared" si="14"/>
        <v>78432.072191543004</v>
      </c>
      <c r="AG45" s="333">
        <f t="shared" si="14"/>
        <v>78800.702930843254</v>
      </c>
      <c r="AH45" s="333">
        <f t="shared" si="14"/>
        <v>79171.066234618207</v>
      </c>
      <c r="AI45" s="333">
        <f t="shared" si="14"/>
        <v>79543.170245920905</v>
      </c>
      <c r="AJ45" s="333">
        <f t="shared" si="14"/>
        <v>79917.023146076725</v>
      </c>
      <c r="AK45" s="333">
        <f t="shared" si="14"/>
        <v>80292.633154863273</v>
      </c>
      <c r="AL45" s="333">
        <f t="shared" si="14"/>
        <v>80670.008530691121</v>
      </c>
      <c r="AM45" s="333">
        <f t="shared" si="14"/>
        <v>81049.157570785363</v>
      </c>
      <c r="AN45" s="333">
        <f t="shared" si="14"/>
        <v>81430.088611368046</v>
      </c>
      <c r="AO45" s="333">
        <f t="shared" si="14"/>
        <v>81812.810027841464</v>
      </c>
      <c r="AP45" s="333">
        <f t="shared" si="14"/>
        <v>82197.330234972309</v>
      </c>
      <c r="AQ45" s="333">
        <f t="shared" si="14"/>
        <v>82583.657687076673</v>
      </c>
      <c r="AR45" s="333">
        <f t="shared" si="14"/>
        <v>82971.800878205933</v>
      </c>
      <c r="AS45" s="333">
        <f t="shared" si="14"/>
        <v>83361.768342333497</v>
      </c>
      <c r="AT45" s="333">
        <f t="shared" si="14"/>
        <v>83753.568653542461</v>
      </c>
      <c r="AU45" s="333">
        <f t="shared" si="14"/>
        <v>84147.210426214107</v>
      </c>
      <c r="AV45" s="333">
        <f t="shared" si="14"/>
        <v>84542.702315217306</v>
      </c>
      <c r="AW45" s="333">
        <f t="shared" si="14"/>
        <v>84940.053016098827</v>
      </c>
      <c r="AX45" s="333">
        <f t="shared" si="14"/>
        <v>85339.271265274481</v>
      </c>
      <c r="AY45" s="333">
        <f t="shared" si="14"/>
        <v>85740.36584022126</v>
      </c>
      <c r="AZ45" s="333">
        <f t="shared" si="14"/>
        <v>86143.345559670299</v>
      </c>
      <c r="BA45" s="333">
        <f t="shared" si="14"/>
        <v>86548.219283800747</v>
      </c>
      <c r="BB45" s="333">
        <f t="shared" si="14"/>
        <v>86954.995914434607</v>
      </c>
      <c r="BC45" s="333">
        <f t="shared" si="14"/>
        <v>87363.684395232442</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Sim</v>
      </c>
      <c r="D49" s="325">
        <f>'R&amp;C-Painel de Controle'!H64</f>
        <v>84101.065500000012</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84496.340507850007</v>
      </c>
      <c r="G51" s="333">
        <f t="shared" si="19"/>
        <v>84496.340507850007</v>
      </c>
      <c r="H51" s="333">
        <f t="shared" si="19"/>
        <v>84496.340507850007</v>
      </c>
      <c r="I51" s="333">
        <f t="shared" si="19"/>
        <v>84496.340507850007</v>
      </c>
      <c r="J51" s="333">
        <f t="shared" si="19"/>
        <v>84496.340507850007</v>
      </c>
      <c r="K51" s="333">
        <f t="shared" si="19"/>
        <v>84496.340507850007</v>
      </c>
      <c r="L51" s="333">
        <f t="shared" si="19"/>
        <v>84496.340507850007</v>
      </c>
      <c r="M51" s="333">
        <f t="shared" si="19"/>
        <v>84496.340507850007</v>
      </c>
      <c r="N51" s="333">
        <f t="shared" si="19"/>
        <v>84496.340507850007</v>
      </c>
      <c r="O51" s="333">
        <f t="shared" si="19"/>
        <v>84496.340507850007</v>
      </c>
      <c r="P51" s="333">
        <f t="shared" si="19"/>
        <v>84496.340507850007</v>
      </c>
      <c r="Q51" s="333">
        <f t="shared" si="19"/>
        <v>84496.340507850007</v>
      </c>
      <c r="R51" s="333">
        <f t="shared" ref="R51:BC51" si="20">Q51*(1+$C$8)</f>
        <v>84893.473308236891</v>
      </c>
      <c r="S51" s="333">
        <f t="shared" si="20"/>
        <v>85292.472632785604</v>
      </c>
      <c r="T51" s="333">
        <f t="shared" si="20"/>
        <v>85693.347254159686</v>
      </c>
      <c r="U51" s="333">
        <f t="shared" si="20"/>
        <v>86096.105986254232</v>
      </c>
      <c r="V51" s="333">
        <f t="shared" si="20"/>
        <v>86500.757684389624</v>
      </c>
      <c r="W51" s="333">
        <f t="shared" si="20"/>
        <v>86907.311245506251</v>
      </c>
      <c r="X51" s="333">
        <f t="shared" si="20"/>
        <v>87315.775608360127</v>
      </c>
      <c r="Y51" s="333">
        <f t="shared" si="20"/>
        <v>87726.159753719417</v>
      </c>
      <c r="Z51" s="333">
        <f t="shared" si="20"/>
        <v>88138.472704561893</v>
      </c>
      <c r="AA51" s="333">
        <f t="shared" si="20"/>
        <v>88552.72352627333</v>
      </c>
      <c r="AB51" s="333">
        <f t="shared" si="20"/>
        <v>88968.921326846801</v>
      </c>
      <c r="AC51" s="333">
        <f t="shared" si="20"/>
        <v>89387.075257082979</v>
      </c>
      <c r="AD51" s="333">
        <f t="shared" si="20"/>
        <v>89807.194510791262</v>
      </c>
      <c r="AE51" s="333">
        <f t="shared" si="20"/>
        <v>90229.288324991969</v>
      </c>
      <c r="AF51" s="333">
        <f t="shared" si="20"/>
        <v>90653.36598011943</v>
      </c>
      <c r="AG51" s="333">
        <f t="shared" si="20"/>
        <v>91079.436800225987</v>
      </c>
      <c r="AH51" s="333">
        <f t="shared" si="20"/>
        <v>91507.510153187046</v>
      </c>
      <c r="AI51" s="333">
        <f t="shared" si="20"/>
        <v>91937.595450907014</v>
      </c>
      <c r="AJ51" s="333">
        <f t="shared" si="20"/>
        <v>92369.702149526274</v>
      </c>
      <c r="AK51" s="333">
        <f t="shared" si="20"/>
        <v>92803.839749629042</v>
      </c>
      <c r="AL51" s="333">
        <f t="shared" si="20"/>
        <v>93240.017796452288</v>
      </c>
      <c r="AM51" s="333">
        <f t="shared" si="20"/>
        <v>93678.245880095608</v>
      </c>
      <c r="AN51" s="333">
        <f t="shared" si="20"/>
        <v>94118.533635732048</v>
      </c>
      <c r="AO51" s="333">
        <f t="shared" si="20"/>
        <v>94560.890743819982</v>
      </c>
      <c r="AP51" s="333">
        <f t="shared" si="20"/>
        <v>95005.326930315932</v>
      </c>
      <c r="AQ51" s="333">
        <f t="shared" si="20"/>
        <v>95451.851966888411</v>
      </c>
      <c r="AR51" s="333">
        <f t="shared" si="20"/>
        <v>95900.475671132779</v>
      </c>
      <c r="AS51" s="333">
        <f t="shared" si="20"/>
        <v>96351.207906787095</v>
      </c>
      <c r="AT51" s="333">
        <f t="shared" si="20"/>
        <v>96804.058583948994</v>
      </c>
      <c r="AU51" s="333">
        <f t="shared" si="20"/>
        <v>97259.03765929355</v>
      </c>
      <c r="AV51" s="333">
        <f t="shared" si="20"/>
        <v>97716.155136292218</v>
      </c>
      <c r="AW51" s="333">
        <f t="shared" si="20"/>
        <v>98175.421065432791</v>
      </c>
      <c r="AX51" s="333">
        <f t="shared" si="20"/>
        <v>98636.845544440323</v>
      </c>
      <c r="AY51" s="333">
        <f t="shared" si="20"/>
        <v>99100.438718499179</v>
      </c>
      <c r="AZ51" s="333">
        <f t="shared" si="20"/>
        <v>99566.210780476118</v>
      </c>
      <c r="BA51" s="333">
        <f t="shared" si="20"/>
        <v>100034.17197114434</v>
      </c>
      <c r="BB51" s="333">
        <f t="shared" si="20"/>
        <v>100504.33257940871</v>
      </c>
      <c r="BC51" s="333">
        <f t="shared" si="20"/>
        <v>100976.70294253193</v>
      </c>
      <c r="BD51" s="305"/>
      <c r="BE51" s="305"/>
      <c r="BF51" s="305"/>
    </row>
    <row r="52" spans="1:58" s="206" customFormat="1" ht="18" hidden="1" customHeight="1" outlineLevel="1" x14ac:dyDescent="0.25">
      <c r="B52" s="906" t="str">
        <f>B80</f>
        <v>Compostagem</v>
      </c>
      <c r="C52" s="325" t="str">
        <f>C80</f>
        <v>Sim</v>
      </c>
      <c r="D52" s="325">
        <f>'R&amp;C-Painel de Controle'!H67</f>
        <v>71485.905675000002</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71821.889431672491</v>
      </c>
      <c r="G54" s="333">
        <f t="shared" si="22"/>
        <v>71821.889431672491</v>
      </c>
      <c r="H54" s="333">
        <f t="shared" si="22"/>
        <v>71821.889431672491</v>
      </c>
      <c r="I54" s="333">
        <f t="shared" si="22"/>
        <v>71821.889431672491</v>
      </c>
      <c r="J54" s="333">
        <f t="shared" si="22"/>
        <v>71821.889431672491</v>
      </c>
      <c r="K54" s="333">
        <f t="shared" si="22"/>
        <v>71821.889431672491</v>
      </c>
      <c r="L54" s="333">
        <f t="shared" si="22"/>
        <v>71821.889431672491</v>
      </c>
      <c r="M54" s="333">
        <f t="shared" si="22"/>
        <v>71821.889431672491</v>
      </c>
      <c r="N54" s="333">
        <f t="shared" si="22"/>
        <v>71821.889431672491</v>
      </c>
      <c r="O54" s="333">
        <f t="shared" si="22"/>
        <v>71821.889431672491</v>
      </c>
      <c r="P54" s="333">
        <f t="shared" si="22"/>
        <v>71821.889431672491</v>
      </c>
      <c r="Q54" s="333">
        <f t="shared" si="22"/>
        <v>71821.889431672491</v>
      </c>
      <c r="R54" s="333">
        <f t="shared" ref="R54:BC54" si="23">Q54*(1+$C$8)</f>
        <v>72159.452312001347</v>
      </c>
      <c r="S54" s="333">
        <f t="shared" si="23"/>
        <v>72498.60173786775</v>
      </c>
      <c r="T54" s="333">
        <f t="shared" si="23"/>
        <v>72839.345166035724</v>
      </c>
      <c r="U54" s="333">
        <f t="shared" si="23"/>
        <v>73181.690088316085</v>
      </c>
      <c r="V54" s="333">
        <f t="shared" si="23"/>
        <v>73525.644031731164</v>
      </c>
      <c r="W54" s="333">
        <f t="shared" si="23"/>
        <v>73871.214558680294</v>
      </c>
      <c r="X54" s="333">
        <f t="shared" si="23"/>
        <v>74218.409267106093</v>
      </c>
      <c r="Y54" s="333">
        <f t="shared" si="23"/>
        <v>74567.235790661493</v>
      </c>
      <c r="Z54" s="333">
        <f t="shared" si="23"/>
        <v>74917.701798877592</v>
      </c>
      <c r="AA54" s="333">
        <f t="shared" si="23"/>
        <v>75269.814997332316</v>
      </c>
      <c r="AB54" s="333">
        <f t="shared" si="23"/>
        <v>75623.583127819773</v>
      </c>
      <c r="AC54" s="333">
        <f t="shared" si="23"/>
        <v>75979.013968520521</v>
      </c>
      <c r="AD54" s="333">
        <f t="shared" si="23"/>
        <v>76336.115334172559</v>
      </c>
      <c r="AE54" s="333">
        <f t="shared" si="23"/>
        <v>76694.895076243163</v>
      </c>
      <c r="AF54" s="333">
        <f t="shared" si="23"/>
        <v>77055.361083101496</v>
      </c>
      <c r="AG54" s="333">
        <f t="shared" si="23"/>
        <v>77417.521280192072</v>
      </c>
      <c r="AH54" s="333">
        <f t="shared" si="23"/>
        <v>77781.383630208962</v>
      </c>
      <c r="AI54" s="333">
        <f t="shared" si="23"/>
        <v>78146.956133270942</v>
      </c>
      <c r="AJ54" s="333">
        <f t="shared" si="23"/>
        <v>78514.246827097304</v>
      </c>
      <c r="AK54" s="333">
        <f t="shared" si="23"/>
        <v>78883.263787184653</v>
      </c>
      <c r="AL54" s="333">
        <f t="shared" si="23"/>
        <v>79254.015126984421</v>
      </c>
      <c r="AM54" s="333">
        <f t="shared" si="23"/>
        <v>79626.508998081248</v>
      </c>
      <c r="AN54" s="333">
        <f t="shared" si="23"/>
        <v>80000.753590372231</v>
      </c>
      <c r="AO54" s="333">
        <f t="shared" si="23"/>
        <v>80376.757132246974</v>
      </c>
      <c r="AP54" s="333">
        <f t="shared" si="23"/>
        <v>80754.527890768528</v>
      </c>
      <c r="AQ54" s="333">
        <f t="shared" si="23"/>
        <v>81134.074171855129</v>
      </c>
      <c r="AR54" s="333">
        <f t="shared" si="23"/>
        <v>81515.40432046284</v>
      </c>
      <c r="AS54" s="333">
        <f t="shared" si="23"/>
        <v>81898.526720769005</v>
      </c>
      <c r="AT54" s="333">
        <f t="shared" si="23"/>
        <v>82283.44979635661</v>
      </c>
      <c r="AU54" s="333">
        <f t="shared" si="23"/>
        <v>82670.182010399483</v>
      </c>
      <c r="AV54" s="333">
        <f t="shared" si="23"/>
        <v>83058.731865848356</v>
      </c>
      <c r="AW54" s="333">
        <f t="shared" si="23"/>
        <v>83449.107905617842</v>
      </c>
      <c r="AX54" s="333">
        <f t="shared" si="23"/>
        <v>83841.318712774242</v>
      </c>
      <c r="AY54" s="333">
        <f t="shared" si="23"/>
        <v>84235.372910724269</v>
      </c>
      <c r="AZ54" s="333">
        <f t="shared" si="23"/>
        <v>84631.279163404673</v>
      </c>
      <c r="BA54" s="333">
        <f t="shared" si="23"/>
        <v>85029.046175472671</v>
      </c>
      <c r="BB54" s="333">
        <f t="shared" si="23"/>
        <v>85428.682692497387</v>
      </c>
      <c r="BC54" s="333">
        <f t="shared" si="23"/>
        <v>85830.197501152114</v>
      </c>
      <c r="BD54" s="305"/>
      <c r="BE54" s="305"/>
      <c r="BF54" s="305"/>
    </row>
    <row r="55" spans="1:58" s="206" customFormat="1" ht="18" hidden="1" customHeight="1" outlineLevel="1" x14ac:dyDescent="0.25">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25">
      <c r="B58" s="906" t="str">
        <f>B86</f>
        <v>Aterro Sanitário</v>
      </c>
      <c r="C58" s="325" t="str">
        <f>C86</f>
        <v>Sim</v>
      </c>
      <c r="D58" s="325">
        <f>'R&amp;C-Painel de Controle'!H73</f>
        <v>90338.87966875</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90763.472403193111</v>
      </c>
      <c r="G60" s="333">
        <f t="shared" si="28"/>
        <v>90763.472403193111</v>
      </c>
      <c r="H60" s="333">
        <f t="shared" si="28"/>
        <v>90763.472403193111</v>
      </c>
      <c r="I60" s="333">
        <f t="shared" si="28"/>
        <v>90763.472403193111</v>
      </c>
      <c r="J60" s="333">
        <f t="shared" si="28"/>
        <v>90763.472403193111</v>
      </c>
      <c r="K60" s="333">
        <f t="shared" si="28"/>
        <v>90763.472403193111</v>
      </c>
      <c r="L60" s="333">
        <f t="shared" si="28"/>
        <v>90763.472403193111</v>
      </c>
      <c r="M60" s="333">
        <f t="shared" si="28"/>
        <v>90763.472403193111</v>
      </c>
      <c r="N60" s="333">
        <f t="shared" si="28"/>
        <v>90763.472403193111</v>
      </c>
      <c r="O60" s="333">
        <f t="shared" si="28"/>
        <v>90763.472403193111</v>
      </c>
      <c r="P60" s="333">
        <f t="shared" si="28"/>
        <v>90763.472403193111</v>
      </c>
      <c r="Q60" s="333">
        <f t="shared" si="28"/>
        <v>90763.472403193111</v>
      </c>
      <c r="R60" s="333">
        <f t="shared" ref="R60:BC60" si="29">Q60*(1+$C$8)</f>
        <v>91190.060723488117</v>
      </c>
      <c r="S60" s="333">
        <f t="shared" si="29"/>
        <v>91618.654008888509</v>
      </c>
      <c r="T60" s="333">
        <f t="shared" si="29"/>
        <v>92049.261682730285</v>
      </c>
      <c r="U60" s="333">
        <f t="shared" si="29"/>
        <v>92481.893212639116</v>
      </c>
      <c r="V60" s="333">
        <f t="shared" si="29"/>
        <v>92916.558110738508</v>
      </c>
      <c r="W60" s="333">
        <f t="shared" si="29"/>
        <v>93353.265933858973</v>
      </c>
      <c r="X60" s="333">
        <f t="shared" si="29"/>
        <v>93792.026283748099</v>
      </c>
      <c r="Y60" s="333">
        <f t="shared" si="29"/>
        <v>94232.848807281713</v>
      </c>
      <c r="Z60" s="333">
        <f t="shared" si="29"/>
        <v>94675.743196675932</v>
      </c>
      <c r="AA60" s="333">
        <f t="shared" si="29"/>
        <v>95120.719189700307</v>
      </c>
      <c r="AB60" s="333">
        <f t="shared" si="29"/>
        <v>95567.78656989189</v>
      </c>
      <c r="AC60" s="333">
        <f t="shared" si="29"/>
        <v>96016.955166770378</v>
      </c>
      <c r="AD60" s="333">
        <f t="shared" si="29"/>
        <v>96468.234856054187</v>
      </c>
      <c r="AE60" s="333">
        <f t="shared" si="29"/>
        <v>96921.635559877628</v>
      </c>
      <c r="AF60" s="333">
        <f t="shared" si="29"/>
        <v>97377.167247009042</v>
      </c>
      <c r="AG60" s="333">
        <f t="shared" si="29"/>
        <v>97834.839933069976</v>
      </c>
      <c r="AH60" s="333">
        <f t="shared" si="29"/>
        <v>98294.663680755402</v>
      </c>
      <c r="AI60" s="333">
        <f t="shared" si="29"/>
        <v>98756.648600054948</v>
      </c>
      <c r="AJ60" s="333">
        <f t="shared" si="29"/>
        <v>99220.804848475193</v>
      </c>
      <c r="AK60" s="333">
        <f t="shared" si="29"/>
        <v>99687.142631263021</v>
      </c>
      <c r="AL60" s="333">
        <f t="shared" si="29"/>
        <v>100155.67220162995</v>
      </c>
      <c r="AM60" s="333">
        <f t="shared" si="29"/>
        <v>100626.4038609776</v>
      </c>
      <c r="AN60" s="333">
        <f t="shared" si="29"/>
        <v>101099.34795912419</v>
      </c>
      <c r="AO60" s="333">
        <f t="shared" si="29"/>
        <v>101574.51489453207</v>
      </c>
      <c r="AP60" s="333">
        <f t="shared" si="29"/>
        <v>102051.91511453636</v>
      </c>
      <c r="AQ60" s="333">
        <f t="shared" si="29"/>
        <v>102531.55911557467</v>
      </c>
      <c r="AR60" s="333">
        <f t="shared" si="29"/>
        <v>103013.45744341786</v>
      </c>
      <c r="AS60" s="333">
        <f t="shared" si="29"/>
        <v>103497.62069340193</v>
      </c>
      <c r="AT60" s="333">
        <f t="shared" si="29"/>
        <v>103984.05951066091</v>
      </c>
      <c r="AU60" s="333">
        <f t="shared" si="29"/>
        <v>104472.78459036101</v>
      </c>
      <c r="AV60" s="333">
        <f t="shared" si="29"/>
        <v>104963.8066779357</v>
      </c>
      <c r="AW60" s="333">
        <f t="shared" si="29"/>
        <v>105457.136569322</v>
      </c>
      <c r="AX60" s="333">
        <f t="shared" si="29"/>
        <v>105952.78511119781</v>
      </c>
      <c r="AY60" s="333">
        <f t="shared" si="29"/>
        <v>106450.76320122043</v>
      </c>
      <c r="AZ60" s="333">
        <f t="shared" si="29"/>
        <v>106951.08178826615</v>
      </c>
      <c r="BA60" s="333">
        <f t="shared" si="29"/>
        <v>107453.751872671</v>
      </c>
      <c r="BB60" s="333">
        <f t="shared" si="29"/>
        <v>107958.78450647254</v>
      </c>
      <c r="BC60" s="333">
        <f t="shared" si="29"/>
        <v>108466.19079365296</v>
      </c>
      <c r="BD60" s="305"/>
      <c r="BE60" s="305"/>
      <c r="BF60" s="305"/>
    </row>
    <row r="61" spans="1:58" s="206" customFormat="1" ht="18" hidden="1" customHeight="1" outlineLevel="1" x14ac:dyDescent="0.25">
      <c r="B61" s="906" t="s">
        <v>671</v>
      </c>
      <c r="C61" s="328">
        <f>C35</f>
        <v>191880</v>
      </c>
      <c r="D61" s="330">
        <f>D35</f>
        <v>192781.83599999998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93.431503826243699</v>
      </c>
      <c r="D63" s="306">
        <f>((D67+D70+D73+D76+D79+D82+D85+D88+'R&amp;C-Painel de Controle'!I21)+('R&amp;C-Painel de Controle'!$K$77*$H$27/5+'R&amp;C-Painel de Controle'!$K$75*$H$27/20+'R&amp;C-Painel de Controle'!$D$29+'R&amp;C-Painel de Controle'!$D$30)/3*(1+$C$62))</f>
        <v>136.50031633704398</v>
      </c>
      <c r="E63" s="306">
        <f>((E67+E70+E73+E76+E79+E82+E85+E88+'R&amp;C-Painel de Controle'!J21)+('R&amp;C-Painel de Controle'!$K$77*$H$27/5+'R&amp;C-Painel de Controle'!$K$75*$H$27/20+'R&amp;C-Painel de Controle'!$D$29+'R&amp;C-Painel de Controle'!$D$30)/3*(1+$C$62))</f>
        <v>129.35464431756364</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92.429441375942247</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27.728832412782673</v>
      </c>
      <c r="D70" s="333">
        <f>D69*$D$68</f>
        <v>18.485888275188451</v>
      </c>
      <c r="E70" s="333">
        <f>E69*$D$68</f>
        <v>46.214720687971123</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Sim</v>
      </c>
      <c r="D71" s="336">
        <f>'R&amp;C-Painel de Controle'!K58</f>
        <v>36.429949482820213</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7.2859898965640433</v>
      </c>
      <c r="D73" s="334">
        <f t="shared" si="35"/>
        <v>18.214974741410106</v>
      </c>
      <c r="E73" s="333">
        <f t="shared" si="35"/>
        <v>10.928984844846063</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Sim</v>
      </c>
      <c r="D77" s="336">
        <f>'R&amp;C-Painel de Controle'!K64</f>
        <v>94.70198508782363</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18.940397017564727</v>
      </c>
      <c r="D79" s="334">
        <f t="shared" si="37"/>
        <v>47.350992543911815</v>
      </c>
      <c r="E79" s="333">
        <f t="shared" si="37"/>
        <v>28.410595526347088</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Sim</v>
      </c>
      <c r="D80" s="336">
        <f>'R&amp;C-Painel de Controle'!K67</f>
        <v>21.571672134543526</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4.3143344269087054</v>
      </c>
      <c r="D82" s="334">
        <f t="shared" si="38"/>
        <v>10.785836067271763</v>
      </c>
      <c r="E82" s="332">
        <f t="shared" si="38"/>
        <v>6.4715016403630576</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Não</v>
      </c>
      <c r="D83" s="336">
        <f>'R&amp;C-Painel de Controle'!K70</f>
        <v>0</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21.668915456127721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4.3337830912255439</v>
      </c>
      <c r="D88" s="334">
        <f t="shared" si="40"/>
        <v>10.83445772806386</v>
      </c>
      <c r="E88" s="332">
        <f t="shared" si="40"/>
        <v>6.5006746368383164</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34.20737719684503</v>
      </c>
      <c r="G90" s="306">
        <f>IF('R&amp;C-Painel de Controle'!$D$24="Não",G94+G97+G100+G103+G106+G109+G112+G115,G94+G97+G100+G103+G106+G109+G112+G115+'R&amp;C-Painel de Controle'!$L$91)</f>
        <v>34.20737719684503</v>
      </c>
      <c r="H90" s="306">
        <f>IF('R&amp;C-Painel de Controle'!$D$24="Não",H94+H97+H100+H103+H106+H109+H112+H115,H94+H97+H100+H103+H106+H109+H112+H115+'R&amp;C-Painel de Controle'!$L$91)</f>
        <v>34.20737719684503</v>
      </c>
      <c r="I90" s="306">
        <f>IF('R&amp;C-Painel de Controle'!$D$24="Não",I94+I97+I100+I103+I106+I109+I112+I115,I94+I97+I100+I103+I106+I109+I112+I115+'R&amp;C-Painel de Controle'!$L$91)</f>
        <v>34.20737719684503</v>
      </c>
      <c r="J90" s="306">
        <f>IF('R&amp;C-Painel de Controle'!$D$24="Não",J94+J97+J100+J103+J106+J109+J112+J115,J94+J97+J100+J103+J106+J109+J112+J115+'R&amp;C-Painel de Controle'!$L$91)</f>
        <v>34.20737719684503</v>
      </c>
      <c r="K90" s="306">
        <f>IF('R&amp;C-Painel de Controle'!$D$24="Não",K94+K97+K100+K103+K106+K109+K112+K115,K94+K97+K100+K103+K106+K109+K112+K115+'R&amp;C-Painel de Controle'!$L$91)</f>
        <v>34.20737719684503</v>
      </c>
      <c r="L90" s="306">
        <f>IF('R&amp;C-Painel de Controle'!$D$24="Não",L94+L97+L100+L103+L106+L109+L112+L115,L94+L97+L100+L103+L106+L109+L112+L115+'R&amp;C-Painel de Controle'!$L$91)</f>
        <v>34.20737719684503</v>
      </c>
      <c r="M90" s="306">
        <f>IF('R&amp;C-Painel de Controle'!$D$24="Não",M94+M97+M100+M103+M106+M109+M112+M115,M94+M97+M100+M103+M106+M109+M112+M115+'R&amp;C-Painel de Controle'!$L$91)</f>
        <v>34.20737719684503</v>
      </c>
      <c r="N90" s="306">
        <f>IF('R&amp;C-Painel de Controle'!$D$24="Não",N94+N97+N100+N103+N106+N109+N112+N115,N94+N97+N100+N103+N106+N109+N112+N115+'R&amp;C-Painel de Controle'!$L$91)</f>
        <v>34.20737719684503</v>
      </c>
      <c r="O90" s="306">
        <f>IF('R&amp;C-Painel de Controle'!$D$24="Não",O94+O97+O100+O103+O106+O109+O112+O115,O94+O97+O100+O103+O106+O109+O112+O115+'R&amp;C-Painel de Controle'!$L$91)</f>
        <v>34.20737719684503</v>
      </c>
      <c r="P90" s="306">
        <f>IF('R&amp;C-Painel de Controle'!$D$24="Não",P94+P97+P100+P103+P106+P109+P112+P115,P94+P97+P100+P103+P106+P109+P112+P115+'R&amp;C-Painel de Controle'!$L$91)</f>
        <v>34.20737719684503</v>
      </c>
      <c r="Q90" s="306">
        <f>IF('R&amp;C-Painel de Controle'!$D$24="Não",Q94+Q97+Q100+Q103+Q106+Q109+Q112+Q115,Q94+Q97+Q100+Q103+Q106+Q109+Q112+Q115+'R&amp;C-Painel de Controle'!$L$91)</f>
        <v>34.20737719684503</v>
      </c>
      <c r="R90" s="306">
        <f>IF('R&amp;C-Painel de Controle'!$D$24="Não",R94+R97+R100+R103+R106+R109+R112+R115,R94+R97+R100+R103+R106+R109+R112+R115+'R&amp;C-Painel de Controle'!$L$91)</f>
        <v>34.20737719684503</v>
      </c>
      <c r="S90" s="306">
        <f>IF('R&amp;C-Painel de Controle'!$D$24="Não",S94+S97+S100+S103+S106+S109+S112+S115,S94+S97+S100+S103+S106+S109+S112+S115+'R&amp;C-Painel de Controle'!$L$91)</f>
        <v>34.20737719684503</v>
      </c>
      <c r="T90" s="306">
        <f>IF('R&amp;C-Painel de Controle'!$D$24="Não",T94+T97+T100+T103+T106+T109+T112+T115,T94+T97+T100+T103+T106+T109+T112+T115+'R&amp;C-Painel de Controle'!$L$91)</f>
        <v>34.20737719684503</v>
      </c>
      <c r="U90" s="306">
        <f>IF('R&amp;C-Painel de Controle'!$D$24="Não",U94+U97+U100+U103+U106+U109+U112+U115,U94+U97+U100+U103+U106+U109+U112+U115+'R&amp;C-Painel de Controle'!$L$91)</f>
        <v>34.20737719684503</v>
      </c>
      <c r="V90" s="306">
        <f>IF('R&amp;C-Painel de Controle'!$D$24="Não",V94+V97+V100+V103+V106+V109+V112+V115,V94+V97+V100+V103+V106+V109+V112+V115+'R&amp;C-Painel de Controle'!$L$91)</f>
        <v>34.20737719684503</v>
      </c>
      <c r="W90" s="306">
        <f>IF('R&amp;C-Painel de Controle'!$D$24="Não",W94+W97+W100+W103+W106+W109+W112+W115,W94+W97+W100+W103+W106+W109+W112+W115+'R&amp;C-Painel de Controle'!$L$91)</f>
        <v>34.20737719684503</v>
      </c>
      <c r="X90" s="306">
        <f>IF('R&amp;C-Painel de Controle'!$D$24="Não",X94+X97+X100+X103+X106+X109+X112+X115,X94+X97+X100+X103+X106+X109+X112+X115+'R&amp;C-Painel de Controle'!$L$91)</f>
        <v>34.20737719684503</v>
      </c>
      <c r="Y90" s="306">
        <f>IF('R&amp;C-Painel de Controle'!$D$24="Não",Y94+Y97+Y100+Y103+Y106+Y109+Y112+Y115,Y94+Y97+Y100+Y103+Y106+Y109+Y112+Y115+'R&amp;C-Painel de Controle'!$L$91)</f>
        <v>34.20737719684503</v>
      </c>
      <c r="Z90" s="306">
        <f>IF('R&amp;C-Painel de Controle'!$D$24="Não",Z94+Z97+Z100+Z103+Z106+Z109+Z112+Z115,Z94+Z97+Z100+Z103+Z106+Z109+Z112+Z115+'R&amp;C-Painel de Controle'!$L$91)</f>
        <v>34.20737719684503</v>
      </c>
      <c r="AA90" s="306">
        <f>IF('R&amp;C-Painel de Controle'!$D$24="Não",AA94+AA97+AA100+AA103+AA106+AA109+AA112+AA115,AA94+AA97+AA100+AA103+AA106+AA109+AA112+AA115+'R&amp;C-Painel de Controle'!$L$91)</f>
        <v>34.20737719684503</v>
      </c>
      <c r="AB90" s="306">
        <f>IF('R&amp;C-Painel de Controle'!$D$24="Não",AB94+AB97+AB100+AB103+AB106+AB109+AB112+AB115,AB94+AB97+AB100+AB103+AB106+AB109+AB112+AB115+'R&amp;C-Painel de Controle'!$L$91)</f>
        <v>34.20737719684503</v>
      </c>
      <c r="AC90" s="306">
        <f>IF('R&amp;C-Painel de Controle'!$D$24="Não",AC94+AC97+AC100+AC103+AC106+AC109+AC112+AC115,AC94+AC97+AC100+AC103+AC106+AC109+AC112+AC115+'R&amp;C-Painel de Controle'!$L$91)</f>
        <v>34.20737719684503</v>
      </c>
      <c r="AD90" s="306">
        <f>IF('R&amp;C-Painel de Controle'!$D$24="Não",AD94+AD97+AD100+AD103+AD106+AD109+AD112+AD115,AD94+AD97+AD100+AD103+AD106+AD109+AD112+AD115+'R&amp;C-Painel de Controle'!$L$91)</f>
        <v>34.20737719684503</v>
      </c>
      <c r="AE90" s="306">
        <f>IF('R&amp;C-Painel de Controle'!$D$24="Não",AE94+AE97+AE100+AE103+AE106+AE109+AE112+AE115,AE94+AE97+AE100+AE103+AE106+AE109+AE112+AE115+'R&amp;C-Painel de Controle'!$L$91)</f>
        <v>34.20737719684503</v>
      </c>
      <c r="AF90" s="306">
        <f>IF('R&amp;C-Painel de Controle'!$D$24="Não",AF94+AF97+AF100+AF103+AF106+AF109+AF112+AF115,AF94+AF97+AF100+AF103+AF106+AF109+AF112+AF115+'R&amp;C-Painel de Controle'!$L$91)</f>
        <v>34.20737719684503</v>
      </c>
      <c r="AG90" s="306">
        <f>IF('R&amp;C-Painel de Controle'!$D$24="Não",AG94+AG97+AG100+AG103+AG106+AG109+AG112+AG115,AG94+AG97+AG100+AG103+AG106+AG109+AG112+AG115+'R&amp;C-Painel de Controle'!$L$91)</f>
        <v>34.20737719684503</v>
      </c>
      <c r="AH90" s="306">
        <f>IF('R&amp;C-Painel de Controle'!$D$24="Não",AH94+AH97+AH100+AH103+AH106+AH109+AH112+AH115,AH94+AH97+AH100+AH103+AH106+AH109+AH112+AH115+'R&amp;C-Painel de Controle'!$L$91)</f>
        <v>34.20737719684503</v>
      </c>
      <c r="AI90" s="306">
        <f>IF('R&amp;C-Painel de Controle'!$D$24="Não",AI94+AI97+AI100+AI103+AI106+AI109+AI112+AI115,AI94+AI97+AI100+AI103+AI106+AI109+AI112+AI115+'R&amp;C-Painel de Controle'!$L$91)</f>
        <v>34.20737719684503</v>
      </c>
      <c r="AJ90" s="306">
        <f>IF('R&amp;C-Painel de Controle'!$D$24="Não",AJ94+AJ97+AJ100+AJ103+AJ106+AJ109+AJ112+AJ115,AJ94+AJ97+AJ100+AJ103+AJ106+AJ109+AJ112+AJ115+'R&amp;C-Painel de Controle'!$L$91)</f>
        <v>34.20737719684503</v>
      </c>
      <c r="AK90" s="306">
        <f>IF('R&amp;C-Painel de Controle'!$D$24="Não",AK94+AK97+AK100+AK103+AK106+AK109+AK112+AK115,AK94+AK97+AK100+AK103+AK106+AK109+AK112+AK115+'R&amp;C-Painel de Controle'!$L$91)</f>
        <v>34.20737719684503</v>
      </c>
      <c r="AL90" s="306">
        <f>IF('R&amp;C-Painel de Controle'!$D$24="Não",AL94+AL97+AL100+AL103+AL106+AL109+AL112+AL115,AL94+AL97+AL100+AL103+AL106+AL109+AL112+AL115+'R&amp;C-Painel de Controle'!$L$91)</f>
        <v>34.20737719684503</v>
      </c>
      <c r="AM90" s="306">
        <f>IF('R&amp;C-Painel de Controle'!$D$24="Não",AM94+AM97+AM100+AM103+AM106+AM109+AM112+AM115,AM94+AM97+AM100+AM103+AM106+AM109+AM112+AM115+'R&amp;C-Painel de Controle'!$L$91)</f>
        <v>34.20737719684503</v>
      </c>
      <c r="AN90" s="306">
        <f>IF('R&amp;C-Painel de Controle'!$D$24="Não",AN94+AN97+AN100+AN103+AN106+AN109+AN112+AN115,AN94+AN97+AN100+AN103+AN106+AN109+AN112+AN115+'R&amp;C-Painel de Controle'!$L$91)</f>
        <v>34.20737719684503</v>
      </c>
      <c r="AO90" s="306">
        <f>IF('R&amp;C-Painel de Controle'!$D$24="Não",AO94+AO97+AO100+AO103+AO106+AO109+AO112+AO115,AO94+AO97+AO100+AO103+AO106+AO109+AO112+AO115+'R&amp;C-Painel de Controle'!$L$91)</f>
        <v>34.20737719684503</v>
      </c>
      <c r="AP90" s="306">
        <f>IF('R&amp;C-Painel de Controle'!$D$24="Não",AP94+AP97+AP100+AP103+AP106+AP109+AP112+AP115,AP94+AP97+AP100+AP103+AP106+AP109+AP112+AP115+'R&amp;C-Painel de Controle'!$L$91)</f>
        <v>34.20737719684503</v>
      </c>
      <c r="AQ90" s="306">
        <f>IF('R&amp;C-Painel de Controle'!$D$24="Não",AQ94+AQ97+AQ100+AQ103+AQ106+AQ109+AQ112+AQ115,AQ94+AQ97+AQ100+AQ103+AQ106+AQ109+AQ112+AQ115+'R&amp;C-Painel de Controle'!$L$91)</f>
        <v>34.20737719684503</v>
      </c>
      <c r="AR90" s="306">
        <f>IF('R&amp;C-Painel de Controle'!$D$24="Não",AR94+AR97+AR100+AR103+AR106+AR109+AR112+AR115,AR94+AR97+AR100+AR103+AR106+AR109+AR112+AR115+'R&amp;C-Painel de Controle'!$L$91)</f>
        <v>34.20737719684503</v>
      </c>
      <c r="AS90" s="306">
        <f>IF('R&amp;C-Painel de Controle'!$D$24="Não",AS94+AS97+AS100+AS103+AS106+AS109+AS112+AS115,AS94+AS97+AS100+AS103+AS106+AS109+AS112+AS115+'R&amp;C-Painel de Controle'!$L$91)</f>
        <v>34.20737719684503</v>
      </c>
      <c r="AT90" s="306">
        <f>IF('R&amp;C-Painel de Controle'!$D$24="Não",AT94+AT97+AT100+AT103+AT106+AT109+AT112+AT115,AT94+AT97+AT100+AT103+AT106+AT109+AT112+AT115+'R&amp;C-Painel de Controle'!$L$91)</f>
        <v>34.20737719684503</v>
      </c>
      <c r="AU90" s="306">
        <f>IF('R&amp;C-Painel de Controle'!$D$24="Não",AU94+AU97+AU100+AU103+AU106+AU109+AU112+AU115,AU94+AU97+AU100+AU103+AU106+AU109+AU112+AU115+'R&amp;C-Painel de Controle'!$L$91)</f>
        <v>34.20737719684503</v>
      </c>
      <c r="AV90" s="306">
        <f>IF('R&amp;C-Painel de Controle'!$D$24="Não",AV94+AV97+AV100+AV103+AV106+AV109+AV112+AV115,AV94+AV97+AV100+AV103+AV106+AV109+AV112+AV115+'R&amp;C-Painel de Controle'!$L$91)</f>
        <v>34.20737719684503</v>
      </c>
      <c r="AW90" s="306">
        <f>IF('R&amp;C-Painel de Controle'!$D$24="Não",AW94+AW97+AW100+AW103+AW106+AW109+AW112+AW115,AW94+AW97+AW100+AW103+AW106+AW109+AW112+AW115+'R&amp;C-Painel de Controle'!$L$91)</f>
        <v>34.20737719684503</v>
      </c>
      <c r="AX90" s="306">
        <f>IF('R&amp;C-Painel de Controle'!$D$24="Não",AX94+AX97+AX100+AX103+AX106+AX109+AX112+AX115,AX94+AX97+AX100+AX103+AX106+AX109+AX112+AX115+'R&amp;C-Painel de Controle'!$L$91)</f>
        <v>34.20737719684503</v>
      </c>
      <c r="AY90" s="306">
        <f>IF('R&amp;C-Painel de Controle'!$D$24="Não",AY94+AY97+AY100+AY103+AY106+AY109+AY112+AY115,AY94+AY97+AY100+AY103+AY106+AY109+AY112+AY115+'R&amp;C-Painel de Controle'!$L$91)</f>
        <v>34.20737719684503</v>
      </c>
      <c r="AZ90" s="306">
        <f>IF('R&amp;C-Painel de Controle'!$D$24="Não",AZ94+AZ97+AZ100+AZ103+AZ106+AZ109+AZ112+AZ115,AZ94+AZ97+AZ100+AZ103+AZ106+AZ109+AZ112+AZ115+'R&amp;C-Painel de Controle'!$L$91)</f>
        <v>34.20737719684503</v>
      </c>
      <c r="BA90" s="306">
        <f>IF('R&amp;C-Painel de Controle'!$D$24="Não",BA94+BA97+BA100+BA103+BA106+BA109+BA112+BA115,BA94+BA97+BA100+BA103+BA106+BA109+BA112+BA115+'R&amp;C-Painel de Controle'!$L$91)</f>
        <v>34.20737719684503</v>
      </c>
      <c r="BB90" s="306">
        <f>IF('R&amp;C-Painel de Controle'!$D$24="Não",BB94+BB97+BB100+BB103+BB106+BB109+BB112+BB115,BB94+BB97+BB100+BB103+BB106+BB109+BB112+BB115+'R&amp;C-Painel de Controle'!$L$91)</f>
        <v>34.20737719684503</v>
      </c>
      <c r="BC90" s="306">
        <f>IF('R&amp;C-Painel de Controle'!$D$24="Não",BC94+BC97+BC100+BC103+BC106+BC109+BC112+BC115,BC94+BC97+BC100+BC103+BC106+BC109+BC112+BC115+'R&amp;C-Painel de Controle'!$L$91)</f>
        <v>34.20737719684503</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192495.00000000003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14.335674468180216</v>
      </c>
      <c r="G97" s="327">
        <f>IF(G42&gt;0,'R&amp;C-Painel de Controle'!$O57+'R&amp;C-Painel de Controle'!$P57*G42/1000000,0)</f>
        <v>14.335674468180216</v>
      </c>
      <c r="H97" s="327">
        <f>IF(H42&gt;0,'R&amp;C-Painel de Controle'!$O57+'R&amp;C-Painel de Controle'!$P57*H42/1000000,0)</f>
        <v>14.335674468180216</v>
      </c>
      <c r="I97" s="327">
        <f>IF(I42&gt;0,'R&amp;C-Painel de Controle'!$O57+'R&amp;C-Painel de Controle'!$P57*I42/1000000,0)</f>
        <v>14.335674468180216</v>
      </c>
      <c r="J97" s="327">
        <f>IF(J42&gt;0,'R&amp;C-Painel de Controle'!$O57+'R&amp;C-Painel de Controle'!$P57*J42/1000000,0)</f>
        <v>14.335674468180216</v>
      </c>
      <c r="K97" s="327">
        <f>IF(K42&gt;0,'R&amp;C-Painel de Controle'!$O57+'R&amp;C-Painel de Controle'!$P57*K42/1000000,0)</f>
        <v>14.335674468180216</v>
      </c>
      <c r="L97" s="327">
        <f>IF(L42&gt;0,'R&amp;C-Painel de Controle'!$O57+'R&amp;C-Painel de Controle'!$P57*L42/1000000,0)</f>
        <v>14.335674468180216</v>
      </c>
      <c r="M97" s="327">
        <f>IF(M42&gt;0,'R&amp;C-Painel de Controle'!$O57+'R&amp;C-Painel de Controle'!$P57*M42/1000000,0)</f>
        <v>14.335674468180216</v>
      </c>
      <c r="N97" s="327">
        <f>IF(N42&gt;0,'R&amp;C-Painel de Controle'!$O57+'R&amp;C-Painel de Controle'!$P57*N42/1000000,0)</f>
        <v>14.335674468180216</v>
      </c>
      <c r="O97" s="327">
        <f>IF(O42&gt;0,'R&amp;C-Painel de Controle'!$O57+'R&amp;C-Painel de Controle'!$P57*O42/1000000,0)</f>
        <v>14.335674468180216</v>
      </c>
      <c r="P97" s="327">
        <f>IF(P42&gt;0,'R&amp;C-Painel de Controle'!$O57+'R&amp;C-Painel de Controle'!$P57*P42/1000000,0)</f>
        <v>14.335674468180216</v>
      </c>
      <c r="Q97" s="327">
        <f>IF(Q42&gt;0,'R&amp;C-Painel de Controle'!$O57+'R&amp;C-Painel de Controle'!$P57*Q42/1000000,0)</f>
        <v>14.335674468180216</v>
      </c>
      <c r="R97" s="305">
        <f t="shared" ref="R97:BC97" si="42">Q97</f>
        <v>14.335674468180216</v>
      </c>
      <c r="S97" s="305">
        <f t="shared" si="42"/>
        <v>14.335674468180216</v>
      </c>
      <c r="T97" s="305">
        <f t="shared" si="42"/>
        <v>14.335674468180216</v>
      </c>
      <c r="U97" s="305">
        <f t="shared" si="42"/>
        <v>14.335674468180216</v>
      </c>
      <c r="V97" s="305">
        <f t="shared" si="42"/>
        <v>14.335674468180216</v>
      </c>
      <c r="W97" s="305">
        <f t="shared" si="42"/>
        <v>14.335674468180216</v>
      </c>
      <c r="X97" s="305">
        <f t="shared" si="42"/>
        <v>14.335674468180216</v>
      </c>
      <c r="Y97" s="305">
        <f t="shared" si="42"/>
        <v>14.335674468180216</v>
      </c>
      <c r="Z97" s="305">
        <f t="shared" si="42"/>
        <v>14.335674468180216</v>
      </c>
      <c r="AA97" s="305">
        <f t="shared" si="42"/>
        <v>14.335674468180216</v>
      </c>
      <c r="AB97" s="305">
        <f t="shared" si="42"/>
        <v>14.335674468180216</v>
      </c>
      <c r="AC97" s="305">
        <f t="shared" si="42"/>
        <v>14.335674468180216</v>
      </c>
      <c r="AD97" s="305">
        <f t="shared" si="42"/>
        <v>14.335674468180216</v>
      </c>
      <c r="AE97" s="305">
        <f t="shared" si="42"/>
        <v>14.335674468180216</v>
      </c>
      <c r="AF97" s="305">
        <f t="shared" si="42"/>
        <v>14.335674468180216</v>
      </c>
      <c r="AG97" s="305">
        <f t="shared" si="42"/>
        <v>14.335674468180216</v>
      </c>
      <c r="AH97" s="305">
        <f t="shared" si="42"/>
        <v>14.335674468180216</v>
      </c>
      <c r="AI97" s="305">
        <f t="shared" si="42"/>
        <v>14.335674468180216</v>
      </c>
      <c r="AJ97" s="305">
        <f t="shared" si="42"/>
        <v>14.335674468180216</v>
      </c>
      <c r="AK97" s="305">
        <f t="shared" si="42"/>
        <v>14.335674468180216</v>
      </c>
      <c r="AL97" s="305">
        <f t="shared" si="42"/>
        <v>14.335674468180216</v>
      </c>
      <c r="AM97" s="305">
        <f t="shared" si="42"/>
        <v>14.335674468180216</v>
      </c>
      <c r="AN97" s="305">
        <f t="shared" si="42"/>
        <v>14.335674468180216</v>
      </c>
      <c r="AO97" s="305">
        <f t="shared" si="42"/>
        <v>14.335674468180216</v>
      </c>
      <c r="AP97" s="305">
        <f t="shared" si="42"/>
        <v>14.335674468180216</v>
      </c>
      <c r="AQ97" s="305">
        <f t="shared" si="42"/>
        <v>14.335674468180216</v>
      </c>
      <c r="AR97" s="305">
        <f t="shared" si="42"/>
        <v>14.335674468180216</v>
      </c>
      <c r="AS97" s="305">
        <f t="shared" si="42"/>
        <v>14.335674468180216</v>
      </c>
      <c r="AT97" s="305">
        <f t="shared" si="42"/>
        <v>14.335674468180216</v>
      </c>
      <c r="AU97" s="305">
        <f t="shared" si="42"/>
        <v>14.335674468180216</v>
      </c>
      <c r="AV97" s="305">
        <f t="shared" si="42"/>
        <v>14.335674468180216</v>
      </c>
      <c r="AW97" s="305">
        <f t="shared" si="42"/>
        <v>14.335674468180216</v>
      </c>
      <c r="AX97" s="305">
        <f t="shared" si="42"/>
        <v>14.335674468180216</v>
      </c>
      <c r="AY97" s="305">
        <f t="shared" si="42"/>
        <v>14.335674468180216</v>
      </c>
      <c r="AZ97" s="305">
        <f t="shared" si="42"/>
        <v>14.335674468180216</v>
      </c>
      <c r="BA97" s="305">
        <f t="shared" si="42"/>
        <v>14.335674468180216</v>
      </c>
      <c r="BB97" s="305">
        <f t="shared" si="42"/>
        <v>14.335674468180216</v>
      </c>
      <c r="BC97" s="305">
        <f t="shared" si="42"/>
        <v>14.335674468180216</v>
      </c>
      <c r="BD97" s="305"/>
      <c r="BE97" s="305"/>
      <c r="BF97" s="305"/>
    </row>
    <row r="98" spans="2:58" s="206" customFormat="1" ht="18" hidden="1" customHeight="1" outlineLevel="1" x14ac:dyDescent="0.25">
      <c r="B98" s="906" t="str">
        <f>B71</f>
        <v>Produção de CDR TM — Trat. Mec.</v>
      </c>
      <c r="C98" s="325" t="str">
        <f>C43</f>
        <v>Sim</v>
      </c>
      <c r="D98" s="325">
        <f>D43</f>
        <v>72763.11</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3.56310335841704</v>
      </c>
      <c r="G100" s="327">
        <f>IF(G45&gt;0,'R&amp;C-Painel de Controle'!$O60+'R&amp;C-Painel de Controle'!$P60*G45/1000000,0)</f>
        <v>3.56310335841704</v>
      </c>
      <c r="H100" s="327">
        <f>IF(H45&gt;0,'R&amp;C-Painel de Controle'!$O60+'R&amp;C-Painel de Controle'!$P60*H45/1000000,0)</f>
        <v>3.56310335841704</v>
      </c>
      <c r="I100" s="327">
        <f>IF(I45&gt;0,'R&amp;C-Painel de Controle'!$O60+'R&amp;C-Painel de Controle'!$P60*I45/1000000,0)</f>
        <v>3.56310335841704</v>
      </c>
      <c r="J100" s="327">
        <f>IF(J45&gt;0,'R&amp;C-Painel de Controle'!$O60+'R&amp;C-Painel de Controle'!$P60*J45/1000000,0)</f>
        <v>3.56310335841704</v>
      </c>
      <c r="K100" s="327">
        <f>IF(K45&gt;0,'R&amp;C-Painel de Controle'!$O60+'R&amp;C-Painel de Controle'!$P60*K45/1000000,0)</f>
        <v>3.56310335841704</v>
      </c>
      <c r="L100" s="327">
        <f>IF(L45&gt;0,'R&amp;C-Painel de Controle'!$O60+'R&amp;C-Painel de Controle'!$P60*L45/1000000,0)</f>
        <v>3.56310335841704</v>
      </c>
      <c r="M100" s="327">
        <f>IF(M45&gt;0,'R&amp;C-Painel de Controle'!$O60+'R&amp;C-Painel de Controle'!$P60*M45/1000000,0)</f>
        <v>3.56310335841704</v>
      </c>
      <c r="N100" s="327">
        <f>IF(N45&gt;0,'R&amp;C-Painel de Controle'!$O60+'R&amp;C-Painel de Controle'!$P60*N45/1000000,0)</f>
        <v>3.56310335841704</v>
      </c>
      <c r="O100" s="327">
        <f>IF(O45&gt;0,'R&amp;C-Painel de Controle'!$O60+'R&amp;C-Painel de Controle'!$P60*O45/1000000,0)</f>
        <v>3.56310335841704</v>
      </c>
      <c r="P100" s="327">
        <f>IF(P45&gt;0,'R&amp;C-Painel de Controle'!$O60+'R&amp;C-Painel de Controle'!$P60*P45/1000000,0)</f>
        <v>3.56310335841704</v>
      </c>
      <c r="Q100" s="327">
        <f>IF(Q45&gt;0,'R&amp;C-Painel de Controle'!$O60+'R&amp;C-Painel de Controle'!$P60*Q45/1000000,0)</f>
        <v>3.56310335841704</v>
      </c>
      <c r="R100" s="305">
        <f t="shared" ref="R100:BC100" si="43">Q100</f>
        <v>3.56310335841704</v>
      </c>
      <c r="S100" s="305">
        <f t="shared" si="43"/>
        <v>3.56310335841704</v>
      </c>
      <c r="T100" s="305">
        <f t="shared" si="43"/>
        <v>3.56310335841704</v>
      </c>
      <c r="U100" s="305">
        <f t="shared" si="43"/>
        <v>3.56310335841704</v>
      </c>
      <c r="V100" s="305">
        <f t="shared" si="43"/>
        <v>3.56310335841704</v>
      </c>
      <c r="W100" s="305">
        <f t="shared" si="43"/>
        <v>3.56310335841704</v>
      </c>
      <c r="X100" s="305">
        <f t="shared" si="43"/>
        <v>3.56310335841704</v>
      </c>
      <c r="Y100" s="305">
        <f t="shared" si="43"/>
        <v>3.56310335841704</v>
      </c>
      <c r="Z100" s="305">
        <f t="shared" si="43"/>
        <v>3.56310335841704</v>
      </c>
      <c r="AA100" s="305">
        <f t="shared" si="43"/>
        <v>3.56310335841704</v>
      </c>
      <c r="AB100" s="305">
        <f t="shared" si="43"/>
        <v>3.56310335841704</v>
      </c>
      <c r="AC100" s="305">
        <f t="shared" si="43"/>
        <v>3.56310335841704</v>
      </c>
      <c r="AD100" s="305">
        <f t="shared" si="43"/>
        <v>3.56310335841704</v>
      </c>
      <c r="AE100" s="305">
        <f t="shared" si="43"/>
        <v>3.56310335841704</v>
      </c>
      <c r="AF100" s="305">
        <f t="shared" si="43"/>
        <v>3.56310335841704</v>
      </c>
      <c r="AG100" s="305">
        <f t="shared" si="43"/>
        <v>3.56310335841704</v>
      </c>
      <c r="AH100" s="305">
        <f t="shared" si="43"/>
        <v>3.56310335841704</v>
      </c>
      <c r="AI100" s="305">
        <f t="shared" si="43"/>
        <v>3.56310335841704</v>
      </c>
      <c r="AJ100" s="305">
        <f t="shared" si="43"/>
        <v>3.56310335841704</v>
      </c>
      <c r="AK100" s="305">
        <f t="shared" si="43"/>
        <v>3.56310335841704</v>
      </c>
      <c r="AL100" s="305">
        <f t="shared" si="43"/>
        <v>3.56310335841704</v>
      </c>
      <c r="AM100" s="305">
        <f t="shared" si="43"/>
        <v>3.56310335841704</v>
      </c>
      <c r="AN100" s="305">
        <f t="shared" si="43"/>
        <v>3.56310335841704</v>
      </c>
      <c r="AO100" s="305">
        <f t="shared" si="43"/>
        <v>3.56310335841704</v>
      </c>
      <c r="AP100" s="305">
        <f t="shared" si="43"/>
        <v>3.56310335841704</v>
      </c>
      <c r="AQ100" s="305">
        <f t="shared" si="43"/>
        <v>3.56310335841704</v>
      </c>
      <c r="AR100" s="305">
        <f t="shared" si="43"/>
        <v>3.56310335841704</v>
      </c>
      <c r="AS100" s="305">
        <f t="shared" si="43"/>
        <v>3.56310335841704</v>
      </c>
      <c r="AT100" s="305">
        <f t="shared" si="43"/>
        <v>3.56310335841704</v>
      </c>
      <c r="AU100" s="305">
        <f t="shared" si="43"/>
        <v>3.56310335841704</v>
      </c>
      <c r="AV100" s="305">
        <f t="shared" si="43"/>
        <v>3.56310335841704</v>
      </c>
      <c r="AW100" s="305">
        <f t="shared" si="43"/>
        <v>3.56310335841704</v>
      </c>
      <c r="AX100" s="305">
        <f t="shared" si="43"/>
        <v>3.56310335841704</v>
      </c>
      <c r="AY100" s="305">
        <f t="shared" si="43"/>
        <v>3.56310335841704</v>
      </c>
      <c r="AZ100" s="305">
        <f t="shared" si="43"/>
        <v>3.56310335841704</v>
      </c>
      <c r="BA100" s="305">
        <f t="shared" si="43"/>
        <v>3.56310335841704</v>
      </c>
      <c r="BB100" s="305">
        <f t="shared" si="43"/>
        <v>3.56310335841704</v>
      </c>
      <c r="BC100" s="305">
        <f t="shared" si="43"/>
        <v>3.56310335841704</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Sim</v>
      </c>
      <c r="D104" s="325">
        <f>D49</f>
        <v>84101.065500000012</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5.7604316155713606</v>
      </c>
      <c r="G106" s="327">
        <f>IF(G51&gt;0,'R&amp;C-Painel de Controle'!$O66+'R&amp;C-Painel de Controle'!$P66*G51/1000000,0)</f>
        <v>5.7604316155713606</v>
      </c>
      <c r="H106" s="327">
        <f>IF(H51&gt;0,'R&amp;C-Painel de Controle'!$O66+'R&amp;C-Painel de Controle'!$P66*H51/1000000,0)</f>
        <v>5.7604316155713606</v>
      </c>
      <c r="I106" s="327">
        <f>IF(I51&gt;0,'R&amp;C-Painel de Controle'!$O66+'R&amp;C-Painel de Controle'!$P66*I51/1000000,0)</f>
        <v>5.7604316155713606</v>
      </c>
      <c r="J106" s="327">
        <f>IF(J51&gt;0,'R&amp;C-Painel de Controle'!$O66+'R&amp;C-Painel de Controle'!$P66*J51/1000000,0)</f>
        <v>5.7604316155713606</v>
      </c>
      <c r="K106" s="327">
        <f>IF(K51&gt;0,'R&amp;C-Painel de Controle'!$O66+'R&amp;C-Painel de Controle'!$P66*K51/1000000,0)</f>
        <v>5.7604316155713606</v>
      </c>
      <c r="L106" s="327">
        <f>IF(L51&gt;0,'R&amp;C-Painel de Controle'!$O66+'R&amp;C-Painel de Controle'!$P66*L51/1000000,0)</f>
        <v>5.7604316155713606</v>
      </c>
      <c r="M106" s="327">
        <f>IF(M51&gt;0,'R&amp;C-Painel de Controle'!$O66+'R&amp;C-Painel de Controle'!$P66*M51/1000000,0)</f>
        <v>5.7604316155713606</v>
      </c>
      <c r="N106" s="327">
        <f>IF(N51&gt;0,'R&amp;C-Painel de Controle'!$O66+'R&amp;C-Painel de Controle'!$P66*N51/1000000,0)</f>
        <v>5.7604316155713606</v>
      </c>
      <c r="O106" s="327">
        <f>IF(O51&gt;0,'R&amp;C-Painel de Controle'!$O66+'R&amp;C-Painel de Controle'!$P66*O51/1000000,0)</f>
        <v>5.7604316155713606</v>
      </c>
      <c r="P106" s="327">
        <f>IF(P51&gt;0,'R&amp;C-Painel de Controle'!$O66+'R&amp;C-Painel de Controle'!$P66*P51/1000000,0)</f>
        <v>5.7604316155713606</v>
      </c>
      <c r="Q106" s="327">
        <f>IF(Q51&gt;0,'R&amp;C-Painel de Controle'!$O66+'R&amp;C-Painel de Controle'!$P66*Q51/1000000,0)</f>
        <v>5.7604316155713606</v>
      </c>
      <c r="R106" s="305">
        <f t="shared" ref="R106:BC106" si="45">Q106</f>
        <v>5.7604316155713606</v>
      </c>
      <c r="S106" s="305">
        <f t="shared" si="45"/>
        <v>5.7604316155713606</v>
      </c>
      <c r="T106" s="305">
        <f t="shared" si="45"/>
        <v>5.7604316155713606</v>
      </c>
      <c r="U106" s="305">
        <f t="shared" si="45"/>
        <v>5.7604316155713606</v>
      </c>
      <c r="V106" s="305">
        <f t="shared" si="45"/>
        <v>5.7604316155713606</v>
      </c>
      <c r="W106" s="305">
        <f t="shared" si="45"/>
        <v>5.7604316155713606</v>
      </c>
      <c r="X106" s="305">
        <f t="shared" si="45"/>
        <v>5.7604316155713606</v>
      </c>
      <c r="Y106" s="305">
        <f t="shared" si="45"/>
        <v>5.7604316155713606</v>
      </c>
      <c r="Z106" s="305">
        <f t="shared" si="45"/>
        <v>5.7604316155713606</v>
      </c>
      <c r="AA106" s="305">
        <f t="shared" si="45"/>
        <v>5.7604316155713606</v>
      </c>
      <c r="AB106" s="305">
        <f t="shared" si="45"/>
        <v>5.7604316155713606</v>
      </c>
      <c r="AC106" s="305">
        <f t="shared" si="45"/>
        <v>5.7604316155713606</v>
      </c>
      <c r="AD106" s="305">
        <f t="shared" si="45"/>
        <v>5.7604316155713606</v>
      </c>
      <c r="AE106" s="305">
        <f t="shared" si="45"/>
        <v>5.7604316155713606</v>
      </c>
      <c r="AF106" s="305">
        <f t="shared" si="45"/>
        <v>5.7604316155713606</v>
      </c>
      <c r="AG106" s="305">
        <f t="shared" si="45"/>
        <v>5.7604316155713606</v>
      </c>
      <c r="AH106" s="305">
        <f t="shared" si="45"/>
        <v>5.7604316155713606</v>
      </c>
      <c r="AI106" s="305">
        <f t="shared" si="45"/>
        <v>5.7604316155713606</v>
      </c>
      <c r="AJ106" s="305">
        <f t="shared" si="45"/>
        <v>5.7604316155713606</v>
      </c>
      <c r="AK106" s="305">
        <f t="shared" si="45"/>
        <v>5.7604316155713606</v>
      </c>
      <c r="AL106" s="305">
        <f t="shared" si="45"/>
        <v>5.7604316155713606</v>
      </c>
      <c r="AM106" s="305">
        <f t="shared" si="45"/>
        <v>5.7604316155713606</v>
      </c>
      <c r="AN106" s="305">
        <f t="shared" si="45"/>
        <v>5.7604316155713606</v>
      </c>
      <c r="AO106" s="305">
        <f t="shared" si="45"/>
        <v>5.7604316155713606</v>
      </c>
      <c r="AP106" s="305">
        <f t="shared" si="45"/>
        <v>5.7604316155713606</v>
      </c>
      <c r="AQ106" s="305">
        <f t="shared" si="45"/>
        <v>5.7604316155713606</v>
      </c>
      <c r="AR106" s="305">
        <f t="shared" si="45"/>
        <v>5.7604316155713606</v>
      </c>
      <c r="AS106" s="305">
        <f t="shared" si="45"/>
        <v>5.7604316155713606</v>
      </c>
      <c r="AT106" s="305">
        <f t="shared" si="45"/>
        <v>5.7604316155713606</v>
      </c>
      <c r="AU106" s="305">
        <f t="shared" si="45"/>
        <v>5.7604316155713606</v>
      </c>
      <c r="AV106" s="305">
        <f t="shared" si="45"/>
        <v>5.7604316155713606</v>
      </c>
      <c r="AW106" s="305">
        <f t="shared" si="45"/>
        <v>5.7604316155713606</v>
      </c>
      <c r="AX106" s="305">
        <f t="shared" si="45"/>
        <v>5.7604316155713606</v>
      </c>
      <c r="AY106" s="305">
        <f t="shared" si="45"/>
        <v>5.7604316155713606</v>
      </c>
      <c r="AZ106" s="305">
        <f t="shared" si="45"/>
        <v>5.7604316155713606</v>
      </c>
      <c r="BA106" s="305">
        <f t="shared" si="45"/>
        <v>5.7604316155713606</v>
      </c>
      <c r="BB106" s="305">
        <f t="shared" si="45"/>
        <v>5.7604316155713606</v>
      </c>
      <c r="BC106" s="305">
        <f t="shared" si="45"/>
        <v>5.7604316155713606</v>
      </c>
      <c r="BD106" s="305"/>
      <c r="BE106" s="305"/>
      <c r="BF106" s="305"/>
    </row>
    <row r="107" spans="2:58" s="206" customFormat="1" ht="18" hidden="1" customHeight="1" outlineLevel="1" x14ac:dyDescent="0.25">
      <c r="B107" s="906" t="str">
        <f>B80</f>
        <v>Compostagem</v>
      </c>
      <c r="C107" s="325" t="str">
        <f>C52</f>
        <v>Sim</v>
      </c>
      <c r="D107" s="325">
        <f>D52</f>
        <v>71485.905675000002</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2.2315354993578254</v>
      </c>
      <c r="G109" s="327">
        <f>IF(G54&gt;0,'R&amp;C-Painel de Controle'!$O69+'R&amp;C-Painel de Controle'!$P69*G54/1000000,0)</f>
        <v>2.2315354993578254</v>
      </c>
      <c r="H109" s="327">
        <f>IF(H54&gt;0,'R&amp;C-Painel de Controle'!$O69+'R&amp;C-Painel de Controle'!$P69*H54/1000000,0)</f>
        <v>2.2315354993578254</v>
      </c>
      <c r="I109" s="327">
        <f>IF(I54&gt;0,'R&amp;C-Painel de Controle'!$O69+'R&amp;C-Painel de Controle'!$P69*I54/1000000,0)</f>
        <v>2.2315354993578254</v>
      </c>
      <c r="J109" s="327">
        <f>IF(J54&gt;0,'R&amp;C-Painel de Controle'!$O69+'R&amp;C-Painel de Controle'!$P69*J54/1000000,0)</f>
        <v>2.2315354993578254</v>
      </c>
      <c r="K109" s="327">
        <f>IF(K54&gt;0,'R&amp;C-Painel de Controle'!$O69+'R&amp;C-Painel de Controle'!$P69*K54/1000000,0)</f>
        <v>2.2315354993578254</v>
      </c>
      <c r="L109" s="327">
        <f>IF(L54&gt;0,'R&amp;C-Painel de Controle'!$O69+'R&amp;C-Painel de Controle'!$P69*L54/1000000,0)</f>
        <v>2.2315354993578254</v>
      </c>
      <c r="M109" s="327">
        <f>IF(M54&gt;0,'R&amp;C-Painel de Controle'!$O69+'R&amp;C-Painel de Controle'!$P69*M54/1000000,0)</f>
        <v>2.2315354993578254</v>
      </c>
      <c r="N109" s="327">
        <f>IF(N54&gt;0,'R&amp;C-Painel de Controle'!$O69+'R&amp;C-Painel de Controle'!$P69*N54/1000000,0)</f>
        <v>2.2315354993578254</v>
      </c>
      <c r="O109" s="327">
        <f>IF(O54&gt;0,'R&amp;C-Painel de Controle'!$O69+'R&amp;C-Painel de Controle'!$P69*O54/1000000,0)</f>
        <v>2.2315354993578254</v>
      </c>
      <c r="P109" s="327">
        <f>IF(P54&gt;0,'R&amp;C-Painel de Controle'!$O69+'R&amp;C-Painel de Controle'!$P69*P54/1000000,0)</f>
        <v>2.2315354993578254</v>
      </c>
      <c r="Q109" s="327">
        <f>IF(Q54&gt;0,'R&amp;C-Painel de Controle'!$O69+'R&amp;C-Painel de Controle'!$P69*Q54/1000000,0)</f>
        <v>2.2315354993578254</v>
      </c>
      <c r="R109" s="305">
        <f t="shared" ref="R109:BC109" si="46">Q109</f>
        <v>2.2315354993578254</v>
      </c>
      <c r="S109" s="305">
        <f t="shared" si="46"/>
        <v>2.2315354993578254</v>
      </c>
      <c r="T109" s="305">
        <f t="shared" si="46"/>
        <v>2.2315354993578254</v>
      </c>
      <c r="U109" s="305">
        <f t="shared" si="46"/>
        <v>2.2315354993578254</v>
      </c>
      <c r="V109" s="305">
        <f t="shared" si="46"/>
        <v>2.2315354993578254</v>
      </c>
      <c r="W109" s="305">
        <f t="shared" si="46"/>
        <v>2.2315354993578254</v>
      </c>
      <c r="X109" s="305">
        <f t="shared" si="46"/>
        <v>2.2315354993578254</v>
      </c>
      <c r="Y109" s="305">
        <f t="shared" si="46"/>
        <v>2.2315354993578254</v>
      </c>
      <c r="Z109" s="305">
        <f t="shared" si="46"/>
        <v>2.2315354993578254</v>
      </c>
      <c r="AA109" s="305">
        <f t="shared" si="46"/>
        <v>2.2315354993578254</v>
      </c>
      <c r="AB109" s="305">
        <f t="shared" si="46"/>
        <v>2.2315354993578254</v>
      </c>
      <c r="AC109" s="305">
        <f t="shared" si="46"/>
        <v>2.2315354993578254</v>
      </c>
      <c r="AD109" s="305">
        <f t="shared" si="46"/>
        <v>2.2315354993578254</v>
      </c>
      <c r="AE109" s="305">
        <f t="shared" si="46"/>
        <v>2.2315354993578254</v>
      </c>
      <c r="AF109" s="305">
        <f t="shared" si="46"/>
        <v>2.2315354993578254</v>
      </c>
      <c r="AG109" s="305">
        <f t="shared" si="46"/>
        <v>2.2315354993578254</v>
      </c>
      <c r="AH109" s="305">
        <f t="shared" si="46"/>
        <v>2.2315354993578254</v>
      </c>
      <c r="AI109" s="305">
        <f t="shared" si="46"/>
        <v>2.2315354993578254</v>
      </c>
      <c r="AJ109" s="305">
        <f t="shared" si="46"/>
        <v>2.2315354993578254</v>
      </c>
      <c r="AK109" s="305">
        <f t="shared" si="46"/>
        <v>2.2315354993578254</v>
      </c>
      <c r="AL109" s="305">
        <f t="shared" si="46"/>
        <v>2.2315354993578254</v>
      </c>
      <c r="AM109" s="305">
        <f t="shared" si="46"/>
        <v>2.2315354993578254</v>
      </c>
      <c r="AN109" s="305">
        <f t="shared" si="46"/>
        <v>2.2315354993578254</v>
      </c>
      <c r="AO109" s="305">
        <f t="shared" si="46"/>
        <v>2.2315354993578254</v>
      </c>
      <c r="AP109" s="305">
        <f t="shared" si="46"/>
        <v>2.2315354993578254</v>
      </c>
      <c r="AQ109" s="305">
        <f t="shared" si="46"/>
        <v>2.2315354993578254</v>
      </c>
      <c r="AR109" s="305">
        <f t="shared" si="46"/>
        <v>2.2315354993578254</v>
      </c>
      <c r="AS109" s="305">
        <f t="shared" si="46"/>
        <v>2.2315354993578254</v>
      </c>
      <c r="AT109" s="305">
        <f t="shared" si="46"/>
        <v>2.2315354993578254</v>
      </c>
      <c r="AU109" s="305">
        <f t="shared" si="46"/>
        <v>2.2315354993578254</v>
      </c>
      <c r="AV109" s="305">
        <f t="shared" si="46"/>
        <v>2.2315354993578254</v>
      </c>
      <c r="AW109" s="305">
        <f t="shared" si="46"/>
        <v>2.2315354993578254</v>
      </c>
      <c r="AX109" s="305">
        <f t="shared" si="46"/>
        <v>2.2315354993578254</v>
      </c>
      <c r="AY109" s="305">
        <f t="shared" si="46"/>
        <v>2.2315354993578254</v>
      </c>
      <c r="AZ109" s="305">
        <f t="shared" si="46"/>
        <v>2.2315354993578254</v>
      </c>
      <c r="BA109" s="305">
        <f t="shared" si="46"/>
        <v>2.2315354993578254</v>
      </c>
      <c r="BB109" s="305">
        <f t="shared" si="46"/>
        <v>2.2315354993578254</v>
      </c>
      <c r="BC109" s="305">
        <f t="shared" si="46"/>
        <v>2.2315354993578254</v>
      </c>
      <c r="BD109" s="305"/>
      <c r="BE109" s="305"/>
      <c r="BF109" s="305"/>
    </row>
    <row r="110" spans="2:58" s="206" customFormat="1" ht="18" hidden="1" customHeight="1" outlineLevel="1" x14ac:dyDescent="0.25">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25">
      <c r="B113" s="906" t="str">
        <f>B86</f>
        <v>Aterro Sanitário</v>
      </c>
      <c r="C113" s="325" t="str">
        <f>C58</f>
        <v>Sim</v>
      </c>
      <c r="D113" s="325">
        <f>D58</f>
        <v>90338.87966875</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8.316632255318595</v>
      </c>
      <c r="G115" s="327">
        <f>IF(G60&gt;0,'R&amp;C-Painel de Controle'!$O75+'R&amp;C-Painel de Controle'!$P75*G60/1000000,0)</f>
        <v>8.316632255318595</v>
      </c>
      <c r="H115" s="327">
        <f>IF(H60&gt;0,'R&amp;C-Painel de Controle'!$O75+'R&amp;C-Painel de Controle'!$P75*H60/1000000,0)</f>
        <v>8.316632255318595</v>
      </c>
      <c r="I115" s="327">
        <f>IF(I60&gt;0,'R&amp;C-Painel de Controle'!$O75+'R&amp;C-Painel de Controle'!$P75*I60/1000000,0)</f>
        <v>8.316632255318595</v>
      </c>
      <c r="J115" s="327">
        <f>IF(J60&gt;0,'R&amp;C-Painel de Controle'!$O75+'R&amp;C-Painel de Controle'!$P75*J60/1000000,0)</f>
        <v>8.316632255318595</v>
      </c>
      <c r="K115" s="327">
        <f>IF(K60&gt;0,'R&amp;C-Painel de Controle'!$O75+'R&amp;C-Painel de Controle'!$P75*K60/1000000,0)</f>
        <v>8.316632255318595</v>
      </c>
      <c r="L115" s="327">
        <f>IF(L60&gt;0,'R&amp;C-Painel de Controle'!$O75+'R&amp;C-Painel de Controle'!$P75*L60/1000000,0)</f>
        <v>8.316632255318595</v>
      </c>
      <c r="M115" s="327">
        <f>IF(M60&gt;0,'R&amp;C-Painel de Controle'!$O75+'R&amp;C-Painel de Controle'!$P75*M60/1000000,0)</f>
        <v>8.316632255318595</v>
      </c>
      <c r="N115" s="327">
        <f>IF(N60&gt;0,'R&amp;C-Painel de Controle'!$O75+'R&amp;C-Painel de Controle'!$P75*N60/1000000,0)</f>
        <v>8.316632255318595</v>
      </c>
      <c r="O115" s="327">
        <f>IF(O60&gt;0,'R&amp;C-Painel de Controle'!$O75+'R&amp;C-Painel de Controle'!$P75*O60/1000000,0)</f>
        <v>8.316632255318595</v>
      </c>
      <c r="P115" s="327">
        <f>IF(P60&gt;0,'R&amp;C-Painel de Controle'!$O75+'R&amp;C-Painel de Controle'!$P75*P60/1000000,0)</f>
        <v>8.316632255318595</v>
      </c>
      <c r="Q115" s="327">
        <f>IF(Q60&gt;0,'R&amp;C-Painel de Controle'!$O75+'R&amp;C-Painel de Controle'!$P75*Q60/1000000,0)</f>
        <v>8.316632255318595</v>
      </c>
      <c r="R115" s="305">
        <f t="shared" ref="R115:BC115" si="48">Q115</f>
        <v>8.316632255318595</v>
      </c>
      <c r="S115" s="305">
        <f t="shared" si="48"/>
        <v>8.316632255318595</v>
      </c>
      <c r="T115" s="305">
        <f t="shared" si="48"/>
        <v>8.316632255318595</v>
      </c>
      <c r="U115" s="305">
        <f t="shared" si="48"/>
        <v>8.316632255318595</v>
      </c>
      <c r="V115" s="305">
        <f t="shared" si="48"/>
        <v>8.316632255318595</v>
      </c>
      <c r="W115" s="305">
        <f t="shared" si="48"/>
        <v>8.316632255318595</v>
      </c>
      <c r="X115" s="305">
        <f t="shared" si="48"/>
        <v>8.316632255318595</v>
      </c>
      <c r="Y115" s="305">
        <f t="shared" si="48"/>
        <v>8.316632255318595</v>
      </c>
      <c r="Z115" s="305">
        <f t="shared" si="48"/>
        <v>8.316632255318595</v>
      </c>
      <c r="AA115" s="305">
        <f t="shared" si="48"/>
        <v>8.316632255318595</v>
      </c>
      <c r="AB115" s="305">
        <f t="shared" si="48"/>
        <v>8.316632255318595</v>
      </c>
      <c r="AC115" s="305">
        <f t="shared" si="48"/>
        <v>8.316632255318595</v>
      </c>
      <c r="AD115" s="305">
        <f t="shared" si="48"/>
        <v>8.316632255318595</v>
      </c>
      <c r="AE115" s="305">
        <f t="shared" si="48"/>
        <v>8.316632255318595</v>
      </c>
      <c r="AF115" s="305">
        <f t="shared" si="48"/>
        <v>8.316632255318595</v>
      </c>
      <c r="AG115" s="305">
        <f t="shared" si="48"/>
        <v>8.316632255318595</v>
      </c>
      <c r="AH115" s="305">
        <f t="shared" si="48"/>
        <v>8.316632255318595</v>
      </c>
      <c r="AI115" s="305">
        <f t="shared" si="48"/>
        <v>8.316632255318595</v>
      </c>
      <c r="AJ115" s="305">
        <f t="shared" si="48"/>
        <v>8.316632255318595</v>
      </c>
      <c r="AK115" s="305">
        <f t="shared" si="48"/>
        <v>8.316632255318595</v>
      </c>
      <c r="AL115" s="305">
        <f t="shared" si="48"/>
        <v>8.316632255318595</v>
      </c>
      <c r="AM115" s="305">
        <f t="shared" si="48"/>
        <v>8.316632255318595</v>
      </c>
      <c r="AN115" s="305">
        <f t="shared" si="48"/>
        <v>8.316632255318595</v>
      </c>
      <c r="AO115" s="305">
        <f t="shared" si="48"/>
        <v>8.316632255318595</v>
      </c>
      <c r="AP115" s="305">
        <f t="shared" si="48"/>
        <v>8.316632255318595</v>
      </c>
      <c r="AQ115" s="305">
        <f t="shared" si="48"/>
        <v>8.316632255318595</v>
      </c>
      <c r="AR115" s="305">
        <f t="shared" si="48"/>
        <v>8.316632255318595</v>
      </c>
      <c r="AS115" s="305">
        <f t="shared" si="48"/>
        <v>8.316632255318595</v>
      </c>
      <c r="AT115" s="305">
        <f t="shared" si="48"/>
        <v>8.316632255318595</v>
      </c>
      <c r="AU115" s="305">
        <f t="shared" si="48"/>
        <v>8.316632255318595</v>
      </c>
      <c r="AV115" s="305">
        <f t="shared" si="48"/>
        <v>8.316632255318595</v>
      </c>
      <c r="AW115" s="305">
        <f t="shared" si="48"/>
        <v>8.316632255318595</v>
      </c>
      <c r="AX115" s="305">
        <f t="shared" si="48"/>
        <v>8.316632255318595</v>
      </c>
      <c r="AY115" s="305">
        <f t="shared" si="48"/>
        <v>8.316632255318595</v>
      </c>
      <c r="AZ115" s="305">
        <f t="shared" si="48"/>
        <v>8.316632255318595</v>
      </c>
      <c r="BA115" s="305">
        <f t="shared" si="48"/>
        <v>8.316632255318595</v>
      </c>
      <c r="BB115" s="305">
        <f t="shared" si="48"/>
        <v>8.316632255318595</v>
      </c>
      <c r="BC115" s="305">
        <f t="shared" si="48"/>
        <v>8.316632255318595</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3.7147128524999999</v>
      </c>
      <c r="D117" s="306">
        <f>IF('R-Definição'!$E$121="Existente",D90+((('R&amp;C-Painel de Controle'!$D$88+'R&amp;C-Painel de Controle'!$D$89)*('R&amp;C-Painel de Controle'!$D$44+'R&amp;C-Painel de Controle'!$D$46))/1000000),D90+((('R&amp;C-Painel de Controle'!$D$88)*('R&amp;C-Painel de Controle'!$D$44+'R&amp;C-Painel de Controle'!$D$46))/1000000))</f>
        <v>3.7147128524999999</v>
      </c>
      <c r="E117" s="306">
        <f>IF('R-Definição'!$E$121="Existente",E90+((('R&amp;C-Painel de Controle'!$D$88+'R&amp;C-Painel de Controle'!$D$89)*('R&amp;C-Painel de Controle'!$D$44+'R&amp;C-Painel de Controle'!$D$46))/1000000),E90+((('R&amp;C-Painel de Controle'!$D$88)*('R&amp;C-Painel de Controle'!$D$44+'R&amp;C-Painel de Controle'!$D$46))/1000000))</f>
        <v>3.7147128524999999</v>
      </c>
      <c r="F117" s="306">
        <f>IF('R-Definição'!$E$121="Existente",F90+((('R&amp;C-Painel de Controle'!$D$88+'R&amp;C-Painel de Controle'!$D$89)*('R&amp;C-Painel de Controle'!$D$44+'R&amp;C-Painel de Controle'!$D$46))/1000000),F90+((('R&amp;C-Painel de Controle'!$D$88)*('R&amp;C-Painel de Controle'!$D$44+'R&amp;C-Painel de Controle'!$D$46))/1000000))</f>
        <v>37.92209004934503</v>
      </c>
      <c r="G117" s="306">
        <f>IF('R-Definição'!$E$121="Existente",G90+((('R&amp;C-Painel de Controle'!$D$88+'R&amp;C-Painel de Controle'!$D$89)*('R&amp;C-Painel de Controle'!$D$44+'R&amp;C-Painel de Controle'!$D$46))/1000000),G90+((('R&amp;C-Painel de Controle'!$D$88)*('R&amp;C-Painel de Controle'!$D$44+'R&amp;C-Painel de Controle'!$D$46))/1000000))</f>
        <v>37.92209004934503</v>
      </c>
      <c r="H117" s="306">
        <f>IF('R-Definição'!$E$121="Existente",H90+((('R&amp;C-Painel de Controle'!$D$88+'R&amp;C-Painel de Controle'!$D$89)*('R&amp;C-Painel de Controle'!$D$44+'R&amp;C-Painel de Controle'!$D$46))/1000000),H90+((('R&amp;C-Painel de Controle'!$D$88)*('R&amp;C-Painel de Controle'!$D$44+'R&amp;C-Painel de Controle'!$D$46))/1000000))</f>
        <v>37.92209004934503</v>
      </c>
      <c r="I117" s="306">
        <f>IF('R-Definição'!$E$121="Existente",I90+((('R&amp;C-Painel de Controle'!$D$88+'R&amp;C-Painel de Controle'!$D$89)*('R&amp;C-Painel de Controle'!$D$44+'R&amp;C-Painel de Controle'!$D$46))/1000000),I90+((('R&amp;C-Painel de Controle'!$D$88)*('R&amp;C-Painel de Controle'!$D$44+'R&amp;C-Painel de Controle'!$D$46))/1000000))</f>
        <v>37.92209004934503</v>
      </c>
      <c r="J117" s="306">
        <f>IF('R-Definição'!$E$121="Existente",J90+((('R&amp;C-Painel de Controle'!$D$88+'R&amp;C-Painel de Controle'!$D$89)*('R&amp;C-Painel de Controle'!$D$44+'R&amp;C-Painel de Controle'!$D$46))/1000000),J90+((('R&amp;C-Painel de Controle'!$D$88)*('R&amp;C-Painel de Controle'!$D$44+'R&amp;C-Painel de Controle'!$D$46))/1000000))</f>
        <v>37.92209004934503</v>
      </c>
      <c r="K117" s="306">
        <f>IF('R-Definição'!$E$121="Existente",K90+((('R&amp;C-Painel de Controle'!$D$88+'R&amp;C-Painel de Controle'!$D$89)*('R&amp;C-Painel de Controle'!$D$44+'R&amp;C-Painel de Controle'!$D$46))/1000000),K90+((('R&amp;C-Painel de Controle'!$D$88)*('R&amp;C-Painel de Controle'!$D$44+'R&amp;C-Painel de Controle'!$D$46))/1000000))</f>
        <v>37.92209004934503</v>
      </c>
      <c r="L117" s="306">
        <f>IF('R-Definição'!$E$121="Existente",L90+((('R&amp;C-Painel de Controle'!$D$88+'R&amp;C-Painel de Controle'!$D$89)*('R&amp;C-Painel de Controle'!$D$44+'R&amp;C-Painel de Controle'!$D$46))/1000000),L90+((('R&amp;C-Painel de Controle'!$D$88)*('R&amp;C-Painel de Controle'!$D$44+'R&amp;C-Painel de Controle'!$D$46))/1000000))</f>
        <v>37.92209004934503</v>
      </c>
      <c r="M117" s="306">
        <f>IF('R-Definição'!$E$121="Existente",M90+((('R&amp;C-Painel de Controle'!$D$88+'R&amp;C-Painel de Controle'!$D$89)*('R&amp;C-Painel de Controle'!$D$44+'R&amp;C-Painel de Controle'!$D$46))/1000000),M90+((('R&amp;C-Painel de Controle'!$D$88)*('R&amp;C-Painel de Controle'!$D$44+'R&amp;C-Painel de Controle'!$D$46))/1000000))</f>
        <v>37.92209004934503</v>
      </c>
      <c r="N117" s="306">
        <f>IF('R-Definição'!$E$121="Existente",N90+((('R&amp;C-Painel de Controle'!$D$88+'R&amp;C-Painel de Controle'!$D$89)*('R&amp;C-Painel de Controle'!$D$44+'R&amp;C-Painel de Controle'!$D$46))/1000000),N90+((('R&amp;C-Painel de Controle'!$D$88)*('R&amp;C-Painel de Controle'!$D$44+'R&amp;C-Painel de Controle'!$D$46))/1000000))</f>
        <v>37.92209004934503</v>
      </c>
      <c r="O117" s="306">
        <f>IF('R-Definição'!$E$121="Existente",O90+((('R&amp;C-Painel de Controle'!$D$88+'R&amp;C-Painel de Controle'!$D$89)*('R&amp;C-Painel de Controle'!$D$44+'R&amp;C-Painel de Controle'!$D$46))/1000000),O90+((('R&amp;C-Painel de Controle'!$D$88)*('R&amp;C-Painel de Controle'!$D$44+'R&amp;C-Painel de Controle'!$D$46))/1000000))</f>
        <v>37.92209004934503</v>
      </c>
      <c r="P117" s="306">
        <f>IF('R-Definição'!$E$121="Existente",P90+((('R&amp;C-Painel de Controle'!$D$88+'R&amp;C-Painel de Controle'!$D$89)*('R&amp;C-Painel de Controle'!$D$44+'R&amp;C-Painel de Controle'!$D$46))/1000000),P90+((('R&amp;C-Painel de Controle'!$D$88)*('R&amp;C-Painel de Controle'!$D$44+'R&amp;C-Painel de Controle'!$D$46))/1000000))</f>
        <v>37.92209004934503</v>
      </c>
      <c r="Q117" s="306">
        <f>IF('R-Definição'!$E$121="Existente",Q90+((('R&amp;C-Painel de Controle'!$D$88+'R&amp;C-Painel de Controle'!$D$89)*('R&amp;C-Painel de Controle'!$D$44+'R&amp;C-Painel de Controle'!$D$46))/1000000),Q90+((('R&amp;C-Painel de Controle'!$D$88)*('R&amp;C-Painel de Controle'!$D$44+'R&amp;C-Painel de Controle'!$D$46))/1000000))</f>
        <v>37.92209004934503</v>
      </c>
      <c r="R117" s="306">
        <f>IF('R-Definição'!$E$121="Existente",R90+((('R&amp;C-Painel de Controle'!$D$88+'R&amp;C-Painel de Controle'!$D$89)*('R&amp;C-Painel de Controle'!$D$44+'R&amp;C-Painel de Controle'!$D$46))/1000000),R90+((('R&amp;C-Painel de Controle'!$D$88)*('R&amp;C-Painel de Controle'!$D$44+'R&amp;C-Painel de Controle'!$D$46))/1000000))</f>
        <v>37.92209004934503</v>
      </c>
      <c r="S117" s="306">
        <f>IF('R-Definição'!$E$121="Existente",S90+((('R&amp;C-Painel de Controle'!$D$88+'R&amp;C-Painel de Controle'!$D$89)*('R&amp;C-Painel de Controle'!$D$44+'R&amp;C-Painel de Controle'!$D$46))/1000000),S90+((('R&amp;C-Painel de Controle'!$D$88)*('R&amp;C-Painel de Controle'!$D$44+'R&amp;C-Painel de Controle'!$D$46))/1000000))</f>
        <v>37.92209004934503</v>
      </c>
      <c r="T117" s="306">
        <f>IF('R-Definição'!$E$121="Existente",T90+((('R&amp;C-Painel de Controle'!$D$88+'R&amp;C-Painel de Controle'!$D$89)*('R&amp;C-Painel de Controle'!$D$44+'R&amp;C-Painel de Controle'!$D$46))/1000000),T90+((('R&amp;C-Painel de Controle'!$D$88)*('R&amp;C-Painel de Controle'!$D$44+'R&amp;C-Painel de Controle'!$D$46))/1000000))</f>
        <v>37.92209004934503</v>
      </c>
      <c r="U117" s="306">
        <f>IF('R-Definição'!$E$121="Existente",U90+((('R&amp;C-Painel de Controle'!$D$88+'R&amp;C-Painel de Controle'!$D$89)*('R&amp;C-Painel de Controle'!$D$44+'R&amp;C-Painel de Controle'!$D$46))/1000000),U90+((('R&amp;C-Painel de Controle'!$D$88)*('R&amp;C-Painel de Controle'!$D$44+'R&amp;C-Painel de Controle'!$D$46))/1000000))</f>
        <v>37.92209004934503</v>
      </c>
      <c r="V117" s="306">
        <f>IF('R-Definição'!$E$121="Existente",V90+((('R&amp;C-Painel de Controle'!$D$88+'R&amp;C-Painel de Controle'!$D$89)*('R&amp;C-Painel de Controle'!$D$44+'R&amp;C-Painel de Controle'!$D$46))/1000000),V90+((('R&amp;C-Painel de Controle'!$D$88)*('R&amp;C-Painel de Controle'!$D$44+'R&amp;C-Painel de Controle'!$D$46))/1000000))</f>
        <v>37.92209004934503</v>
      </c>
      <c r="W117" s="306">
        <f>IF('R-Definição'!$E$121="Existente",W90+((('R&amp;C-Painel de Controle'!$D$88+'R&amp;C-Painel de Controle'!$D$89)*('R&amp;C-Painel de Controle'!$D$44+'R&amp;C-Painel de Controle'!$D$46))/1000000),W90+((('R&amp;C-Painel de Controle'!$D$88)*('R&amp;C-Painel de Controle'!$D$44+'R&amp;C-Painel de Controle'!$D$46))/1000000))</f>
        <v>37.92209004934503</v>
      </c>
      <c r="X117" s="306">
        <f>IF('R-Definição'!$E$121="Existente",X90+((('R&amp;C-Painel de Controle'!$D$88+'R&amp;C-Painel de Controle'!$D$89)*('R&amp;C-Painel de Controle'!$D$44+'R&amp;C-Painel de Controle'!$D$46))/1000000),X90+((('R&amp;C-Painel de Controle'!$D$88)*('R&amp;C-Painel de Controle'!$D$44+'R&amp;C-Painel de Controle'!$D$46))/1000000))</f>
        <v>37.92209004934503</v>
      </c>
      <c r="Y117" s="306">
        <f>IF('R-Definição'!$E$121="Existente",Y90+((('R&amp;C-Painel de Controle'!$D$88+'R&amp;C-Painel de Controle'!$D$89)*('R&amp;C-Painel de Controle'!$D$44+'R&amp;C-Painel de Controle'!$D$46))/1000000),Y90+((('R&amp;C-Painel de Controle'!$D$88)*('R&amp;C-Painel de Controle'!$D$44+'R&amp;C-Painel de Controle'!$D$46))/1000000))</f>
        <v>37.92209004934503</v>
      </c>
      <c r="Z117" s="306">
        <f>IF('R-Definição'!$E$121="Existente",Z90+((('R&amp;C-Painel de Controle'!$D$88+'R&amp;C-Painel de Controle'!$D$89)*('R&amp;C-Painel de Controle'!$D$44+'R&amp;C-Painel de Controle'!$D$46))/1000000),Z90+((('R&amp;C-Painel de Controle'!$D$88)*('R&amp;C-Painel de Controle'!$D$44+'R&amp;C-Painel de Controle'!$D$46))/1000000))</f>
        <v>37.92209004934503</v>
      </c>
      <c r="AA117" s="306">
        <f>IF('R-Definição'!$E$121="Existente",AA90+((('R&amp;C-Painel de Controle'!$D$88+'R&amp;C-Painel de Controle'!$D$89)*('R&amp;C-Painel de Controle'!$D$44+'R&amp;C-Painel de Controle'!$D$46))/1000000),AA90+((('R&amp;C-Painel de Controle'!$D$88)*('R&amp;C-Painel de Controle'!$D$44+'R&amp;C-Painel de Controle'!$D$46))/1000000))</f>
        <v>37.92209004934503</v>
      </c>
      <c r="AB117" s="306">
        <f>IF('R-Definição'!$E$121="Existente",AB90+((('R&amp;C-Painel de Controle'!$D$88+'R&amp;C-Painel de Controle'!$D$89)*('R&amp;C-Painel de Controle'!$D$44+'R&amp;C-Painel de Controle'!$D$46))/1000000),AB90+((('R&amp;C-Painel de Controle'!$D$88)*('R&amp;C-Painel de Controle'!$D$44+'R&amp;C-Painel de Controle'!$D$46))/1000000))</f>
        <v>37.92209004934503</v>
      </c>
      <c r="AC117" s="306">
        <f>IF('R-Definição'!$E$121="Existente",AC90+((('R&amp;C-Painel de Controle'!$D$88+'R&amp;C-Painel de Controle'!$D$89)*('R&amp;C-Painel de Controle'!$D$44+'R&amp;C-Painel de Controle'!$D$46))/1000000),AC90+((('R&amp;C-Painel de Controle'!$D$88)*('R&amp;C-Painel de Controle'!$D$44+'R&amp;C-Painel de Controle'!$D$46))/1000000))</f>
        <v>37.92209004934503</v>
      </c>
      <c r="AD117" s="306">
        <f>IF('R-Definição'!$E$121="Existente",AD90+((('R&amp;C-Painel de Controle'!$D$88+'R&amp;C-Painel de Controle'!$D$89)*('R&amp;C-Painel de Controle'!$D$44+'R&amp;C-Painel de Controle'!$D$46))/1000000),AD90+((('R&amp;C-Painel de Controle'!$D$88)*('R&amp;C-Painel de Controle'!$D$44+'R&amp;C-Painel de Controle'!$D$46))/1000000))</f>
        <v>37.92209004934503</v>
      </c>
      <c r="AE117" s="306">
        <f>IF('R-Definição'!$E$121="Existente",AE90+((('R&amp;C-Painel de Controle'!$D$88+'R&amp;C-Painel de Controle'!$D$89)*('R&amp;C-Painel de Controle'!$D$44+'R&amp;C-Painel de Controle'!$D$46))/1000000),AE90+((('R&amp;C-Painel de Controle'!$D$88)*('R&amp;C-Painel de Controle'!$D$44+'R&amp;C-Painel de Controle'!$D$46))/1000000))</f>
        <v>37.92209004934503</v>
      </c>
      <c r="AF117" s="306">
        <f>IF('R-Definição'!$E$121="Existente",AF90+((('R&amp;C-Painel de Controle'!$D$88+'R&amp;C-Painel de Controle'!$D$89)*('R&amp;C-Painel de Controle'!$D$44+'R&amp;C-Painel de Controle'!$D$46))/1000000),AF90+((('R&amp;C-Painel de Controle'!$D$88)*('R&amp;C-Painel de Controle'!$D$44+'R&amp;C-Painel de Controle'!$D$46))/1000000))</f>
        <v>37.92209004934503</v>
      </c>
      <c r="AG117" s="306">
        <f>IF('R-Definição'!$E$121="Existente",AG90+((('R&amp;C-Painel de Controle'!$D$88+'R&amp;C-Painel de Controle'!$D$89)*('R&amp;C-Painel de Controle'!$D$44+'R&amp;C-Painel de Controle'!$D$46))/1000000),AG90+((('R&amp;C-Painel de Controle'!$D$88)*('R&amp;C-Painel de Controle'!$D$44+'R&amp;C-Painel de Controle'!$D$46))/1000000))</f>
        <v>37.92209004934503</v>
      </c>
      <c r="AH117" s="306">
        <f>IF('R-Definição'!$E$121="Existente",AH90+((('R&amp;C-Painel de Controle'!$D$88+'R&amp;C-Painel de Controle'!$D$89)*('R&amp;C-Painel de Controle'!$D$44+'R&amp;C-Painel de Controle'!$D$46))/1000000),AH90+((('R&amp;C-Painel de Controle'!$D$88)*('R&amp;C-Painel de Controle'!$D$44+'R&amp;C-Painel de Controle'!$D$46))/1000000))</f>
        <v>37.92209004934503</v>
      </c>
      <c r="AI117" s="306">
        <f>IF('R-Definição'!$E$121="Existente",AI90+((('R&amp;C-Painel de Controle'!$D$88+'R&amp;C-Painel de Controle'!$D$89)*('R&amp;C-Painel de Controle'!$D$44+'R&amp;C-Painel de Controle'!$D$46))/1000000),AI90+((('R&amp;C-Painel de Controle'!$D$88)*('R&amp;C-Painel de Controle'!$D$44+'R&amp;C-Painel de Controle'!$D$46))/1000000))</f>
        <v>37.92209004934503</v>
      </c>
      <c r="AJ117" s="306">
        <f>IF('R-Definição'!$E$121="Existente",AJ90+((('R&amp;C-Painel de Controle'!$D$88+'R&amp;C-Painel de Controle'!$D$89)*('R&amp;C-Painel de Controle'!$D$44+'R&amp;C-Painel de Controle'!$D$46))/1000000),AJ90+((('R&amp;C-Painel de Controle'!$D$88)*('R&amp;C-Painel de Controle'!$D$44+'R&amp;C-Painel de Controle'!$D$46))/1000000))</f>
        <v>37.92209004934503</v>
      </c>
      <c r="AK117" s="306">
        <f>IF('R-Definição'!$E$121="Existente",AK90+((('R&amp;C-Painel de Controle'!$D$88+'R&amp;C-Painel de Controle'!$D$89)*('R&amp;C-Painel de Controle'!$D$44+'R&amp;C-Painel de Controle'!$D$46))/1000000),AK90+((('R&amp;C-Painel de Controle'!$D$88)*('R&amp;C-Painel de Controle'!$D$44+'R&amp;C-Painel de Controle'!$D$46))/1000000))</f>
        <v>37.92209004934503</v>
      </c>
      <c r="AL117" s="306">
        <f>IF('R-Definição'!$E$121="Existente",AL90+((('R&amp;C-Painel de Controle'!$D$88+'R&amp;C-Painel de Controle'!$D$89)*('R&amp;C-Painel de Controle'!$D$44+'R&amp;C-Painel de Controle'!$D$46))/1000000),AL90+((('R&amp;C-Painel de Controle'!$D$88)*('R&amp;C-Painel de Controle'!$D$44+'R&amp;C-Painel de Controle'!$D$46))/1000000))</f>
        <v>37.92209004934503</v>
      </c>
      <c r="AM117" s="306">
        <f>IF('R-Definição'!$E$121="Existente",AM90+((('R&amp;C-Painel de Controle'!$D$88+'R&amp;C-Painel de Controle'!$D$89)*('R&amp;C-Painel de Controle'!$D$44+'R&amp;C-Painel de Controle'!$D$46))/1000000),AM90+((('R&amp;C-Painel de Controle'!$D$88)*('R&amp;C-Painel de Controle'!$D$44+'R&amp;C-Painel de Controle'!$D$46))/1000000))</f>
        <v>37.92209004934503</v>
      </c>
      <c r="AN117" s="306">
        <f>IF('R-Definição'!$E$121="Existente",AN90+((('R&amp;C-Painel de Controle'!$D$88+'R&amp;C-Painel de Controle'!$D$89)*('R&amp;C-Painel de Controle'!$D$44+'R&amp;C-Painel de Controle'!$D$46))/1000000),AN90+((('R&amp;C-Painel de Controle'!$D$88)*('R&amp;C-Painel de Controle'!$D$44+'R&amp;C-Painel de Controle'!$D$46))/1000000))</f>
        <v>37.92209004934503</v>
      </c>
      <c r="AO117" s="306">
        <f>IF('R-Definição'!$E$121="Existente",AO90+((('R&amp;C-Painel de Controle'!$D$88+'R&amp;C-Painel de Controle'!$D$89)*('R&amp;C-Painel de Controle'!$D$44+'R&amp;C-Painel de Controle'!$D$46))/1000000),AO90+((('R&amp;C-Painel de Controle'!$D$88)*('R&amp;C-Painel de Controle'!$D$44+'R&amp;C-Painel de Controle'!$D$46))/1000000))</f>
        <v>37.92209004934503</v>
      </c>
      <c r="AP117" s="306">
        <f>IF('R-Definição'!$E$121="Existente",AP90+((('R&amp;C-Painel de Controle'!$D$88+'R&amp;C-Painel de Controle'!$D$89)*('R&amp;C-Painel de Controle'!$D$44+'R&amp;C-Painel de Controle'!$D$46))/1000000),AP90+((('R&amp;C-Painel de Controle'!$D$88)*('R&amp;C-Painel de Controle'!$D$44+'R&amp;C-Painel de Controle'!$D$46))/1000000))</f>
        <v>37.92209004934503</v>
      </c>
      <c r="AQ117" s="306">
        <f>IF('R-Definição'!$E$121="Existente",AQ90+((('R&amp;C-Painel de Controle'!$D$88+'R&amp;C-Painel de Controle'!$D$89)*('R&amp;C-Painel de Controle'!$D$44+'R&amp;C-Painel de Controle'!$D$46))/1000000),AQ90+((('R&amp;C-Painel de Controle'!$D$88)*('R&amp;C-Painel de Controle'!$D$44+'R&amp;C-Painel de Controle'!$D$46))/1000000))</f>
        <v>37.92209004934503</v>
      </c>
      <c r="AR117" s="306">
        <f>IF('R-Definição'!$E$121="Existente",AR90+((('R&amp;C-Painel de Controle'!$D$88+'R&amp;C-Painel de Controle'!$D$89)*('R&amp;C-Painel de Controle'!$D$44+'R&amp;C-Painel de Controle'!$D$46))/1000000),AR90+((('R&amp;C-Painel de Controle'!$D$88)*('R&amp;C-Painel de Controle'!$D$44+'R&amp;C-Painel de Controle'!$D$46))/1000000))</f>
        <v>37.92209004934503</v>
      </c>
      <c r="AS117" s="306">
        <f>IF('R-Definição'!$E$121="Existente",AS90+((('R&amp;C-Painel de Controle'!$D$88+'R&amp;C-Painel de Controle'!$D$89)*('R&amp;C-Painel de Controle'!$D$44+'R&amp;C-Painel de Controle'!$D$46))/1000000),AS90+((('R&amp;C-Painel de Controle'!$D$88)*('R&amp;C-Painel de Controle'!$D$44+'R&amp;C-Painel de Controle'!$D$46))/1000000))</f>
        <v>37.92209004934503</v>
      </c>
      <c r="AT117" s="306">
        <f>IF('R-Definição'!$E$121="Existente",AT90+((('R&amp;C-Painel de Controle'!$D$88+'R&amp;C-Painel de Controle'!$D$89)*('R&amp;C-Painel de Controle'!$D$44+'R&amp;C-Painel de Controle'!$D$46))/1000000),AT90+((('R&amp;C-Painel de Controle'!$D$88)*('R&amp;C-Painel de Controle'!$D$44+'R&amp;C-Painel de Controle'!$D$46))/1000000))</f>
        <v>37.92209004934503</v>
      </c>
      <c r="AU117" s="306">
        <f>IF('R-Definição'!$E$121="Existente",AU90+((('R&amp;C-Painel de Controle'!$D$88+'R&amp;C-Painel de Controle'!$D$89)*('R&amp;C-Painel de Controle'!$D$44+'R&amp;C-Painel de Controle'!$D$46))/1000000),AU90+((('R&amp;C-Painel de Controle'!$D$88)*('R&amp;C-Painel de Controle'!$D$44+'R&amp;C-Painel de Controle'!$D$46))/1000000))</f>
        <v>37.92209004934503</v>
      </c>
      <c r="AV117" s="306">
        <f>IF('R-Definição'!$E$121="Existente",AV90+((('R&amp;C-Painel de Controle'!$D$88+'R&amp;C-Painel de Controle'!$D$89)*('R&amp;C-Painel de Controle'!$D$44+'R&amp;C-Painel de Controle'!$D$46))/1000000),AV90+((('R&amp;C-Painel de Controle'!$D$88)*('R&amp;C-Painel de Controle'!$D$44+'R&amp;C-Painel de Controle'!$D$46))/1000000))</f>
        <v>37.92209004934503</v>
      </c>
      <c r="AW117" s="306">
        <f>IF('R-Definição'!$E$121="Existente",AW90+((('R&amp;C-Painel de Controle'!$D$88+'R&amp;C-Painel de Controle'!$D$89)*('R&amp;C-Painel de Controle'!$D$44+'R&amp;C-Painel de Controle'!$D$46))/1000000),AW90+((('R&amp;C-Painel de Controle'!$D$88)*('R&amp;C-Painel de Controle'!$D$44+'R&amp;C-Painel de Controle'!$D$46))/1000000))</f>
        <v>37.92209004934503</v>
      </c>
      <c r="AX117" s="306">
        <f>IF('R-Definição'!$E$121="Existente",AX90+((('R&amp;C-Painel de Controle'!$D$88+'R&amp;C-Painel de Controle'!$D$89)*('R&amp;C-Painel de Controle'!$D$44+'R&amp;C-Painel de Controle'!$D$46))/1000000),AX90+((('R&amp;C-Painel de Controle'!$D$88)*('R&amp;C-Painel de Controle'!$D$44+'R&amp;C-Painel de Controle'!$D$46))/1000000))</f>
        <v>37.92209004934503</v>
      </c>
      <c r="AY117" s="306">
        <f>IF('R-Definição'!$E$121="Existente",AY90+((('R&amp;C-Painel de Controle'!$D$88+'R&amp;C-Painel de Controle'!$D$89)*('R&amp;C-Painel de Controle'!$D$44+'R&amp;C-Painel de Controle'!$D$46))/1000000),AY90+((('R&amp;C-Painel de Controle'!$D$88)*('R&amp;C-Painel de Controle'!$D$44+'R&amp;C-Painel de Controle'!$D$46))/1000000))</f>
        <v>37.92209004934503</v>
      </c>
      <c r="AZ117" s="306">
        <f>IF('R-Definição'!$E$121="Existente",AZ90+((('R&amp;C-Painel de Controle'!$D$88+'R&amp;C-Painel de Controle'!$D$89)*('R&amp;C-Painel de Controle'!$D$44+'R&amp;C-Painel de Controle'!$D$46))/1000000),AZ90+((('R&amp;C-Painel de Controle'!$D$88)*('R&amp;C-Painel de Controle'!$D$44+'R&amp;C-Painel de Controle'!$D$46))/1000000))</f>
        <v>37.92209004934503</v>
      </c>
      <c r="BA117" s="306">
        <f>IF('R-Definição'!$E$121="Existente",BA90+((('R&amp;C-Painel de Controle'!$D$88+'R&amp;C-Painel de Controle'!$D$89)*('R&amp;C-Painel de Controle'!$D$44+'R&amp;C-Painel de Controle'!$D$46))/1000000),BA90+((('R&amp;C-Painel de Controle'!$D$88)*('R&amp;C-Painel de Controle'!$D$44+'R&amp;C-Painel de Controle'!$D$46))/1000000))</f>
        <v>37.92209004934503</v>
      </c>
      <c r="BB117" s="306">
        <f>IF('R-Definição'!$E$121="Existente",BB90+((('R&amp;C-Painel de Controle'!$D$88+'R&amp;C-Painel de Controle'!$D$89)*('R&amp;C-Painel de Controle'!$D$44+'R&amp;C-Painel de Controle'!$D$46))/1000000),BB90+((('R&amp;C-Painel de Controle'!$D$88)*('R&amp;C-Painel de Controle'!$D$44+'R&amp;C-Painel de Controle'!$D$46))/1000000))</f>
        <v>37.92209004934503</v>
      </c>
      <c r="BC117" s="306">
        <f>IF('R-Definição'!$E$121="Existente",BC90+((('R&amp;C-Painel de Controle'!$D$88+'R&amp;C-Painel de Controle'!$D$89)*('R&amp;C-Painel de Controle'!$D$44+'R&amp;C-Painel de Controle'!$D$46))/1000000),BC90+((('R&amp;C-Painel de Controle'!$D$88)*('R&amp;C-Painel de Controle'!$D$44+'R&amp;C-Painel de Controle'!$D$46))/1000000))</f>
        <v>37.92209004934503</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8.7147128524999999</v>
      </c>
      <c r="D119" s="306">
        <f>(D117+'R&amp;C-Painel de Controle'!$D$28)*(1+$C$118)</f>
        <v>8.7147128524999999</v>
      </c>
      <c r="E119" s="306">
        <f>(E117+'R&amp;C-Painel de Controle'!$D$28)*(1+$C$118)</f>
        <v>8.7147128524999999</v>
      </c>
      <c r="F119" s="306">
        <f>(F117+'R&amp;C-Painel de Controle'!$D$28)*(1+$C$118)</f>
        <v>42.92209004934503</v>
      </c>
      <c r="G119" s="306">
        <f>(G117+'R&amp;C-Painel de Controle'!$D$28)*(1+$C$118)</f>
        <v>42.92209004934503</v>
      </c>
      <c r="H119" s="306">
        <f>(H117+'R&amp;C-Painel de Controle'!$D$28)*(1+$C$118)</f>
        <v>42.92209004934503</v>
      </c>
      <c r="I119" s="306">
        <f>(I117+'R&amp;C-Painel de Controle'!$D$28)*(1+$C$118)</f>
        <v>42.92209004934503</v>
      </c>
      <c r="J119" s="306">
        <f>(J117+'R&amp;C-Painel de Controle'!$D$28)*(1+$C$118)</f>
        <v>42.92209004934503</v>
      </c>
      <c r="K119" s="306">
        <f>(K117+'R&amp;C-Painel de Controle'!$D$28)*(1+$C$118)</f>
        <v>42.92209004934503</v>
      </c>
      <c r="L119" s="306">
        <f>(L117+'R&amp;C-Painel de Controle'!$D$28)*(1+$C$118)</f>
        <v>42.92209004934503</v>
      </c>
      <c r="M119" s="306">
        <f>(M117+'R&amp;C-Painel de Controle'!$D$28)*(1+$C$118)</f>
        <v>42.92209004934503</v>
      </c>
      <c r="N119" s="306">
        <f>(N117+'R&amp;C-Painel de Controle'!$D$28)*(1+$C$118)</f>
        <v>42.92209004934503</v>
      </c>
      <c r="O119" s="306">
        <f>(O117+'R&amp;C-Painel de Controle'!$D$28)*(1+$C$118)</f>
        <v>42.92209004934503</v>
      </c>
      <c r="P119" s="306">
        <f>(P117+'R&amp;C-Painel de Controle'!$D$28)*(1+$C$118)</f>
        <v>42.92209004934503</v>
      </c>
      <c r="Q119" s="306">
        <f>(Q117+'R&amp;C-Painel de Controle'!$D$28)*(1+$C$118)</f>
        <v>42.92209004934503</v>
      </c>
      <c r="R119" s="306">
        <f>(R117+'R&amp;C-Painel de Controle'!$D$28)*(1+$C$118)</f>
        <v>42.92209004934503</v>
      </c>
      <c r="S119" s="306">
        <f>(S117+'R&amp;C-Painel de Controle'!$D$28)*(1+$C$118)</f>
        <v>42.92209004934503</v>
      </c>
      <c r="T119" s="306">
        <f>(T117+'R&amp;C-Painel de Controle'!$D$28)*(1+$C$118)</f>
        <v>42.92209004934503</v>
      </c>
      <c r="U119" s="306">
        <f>(U117+'R&amp;C-Painel de Controle'!$D$28)*(1+$C$118)</f>
        <v>42.92209004934503</v>
      </c>
      <c r="V119" s="306">
        <f>(V117+'R&amp;C-Painel de Controle'!$D$28)*(1+$C$118)</f>
        <v>42.92209004934503</v>
      </c>
      <c r="W119" s="306">
        <f>(W117+'R&amp;C-Painel de Controle'!$D$28)*(1+$C$118)</f>
        <v>42.92209004934503</v>
      </c>
      <c r="X119" s="306">
        <f>(X117+'R&amp;C-Painel de Controle'!$D$28)*(1+$C$118)</f>
        <v>42.92209004934503</v>
      </c>
      <c r="Y119" s="306">
        <f>(Y117+'R&amp;C-Painel de Controle'!$D$28)*(1+$C$118)</f>
        <v>42.92209004934503</v>
      </c>
      <c r="Z119" s="306">
        <f>(Z117+'R&amp;C-Painel de Controle'!$D$28)*(1+$C$118)</f>
        <v>42.92209004934503</v>
      </c>
      <c r="AA119" s="306">
        <f>(AA117+'R&amp;C-Painel de Controle'!$D$28)*(1+$C$118)</f>
        <v>42.92209004934503</v>
      </c>
      <c r="AB119" s="306">
        <f>(AB117+'R&amp;C-Painel de Controle'!$D$28)*(1+$C$118)</f>
        <v>42.92209004934503</v>
      </c>
      <c r="AC119" s="306">
        <f>(AC117+'R&amp;C-Painel de Controle'!$D$28)*(1+$C$118)</f>
        <v>42.92209004934503</v>
      </c>
      <c r="AD119" s="306">
        <f>(AD117+'R&amp;C-Painel de Controle'!$D$28)*(1+$C$118)</f>
        <v>42.92209004934503</v>
      </c>
      <c r="AE119" s="306">
        <f>(AE117+'R&amp;C-Painel de Controle'!$D$28)*(1+$C$118)</f>
        <v>42.92209004934503</v>
      </c>
      <c r="AF119" s="306">
        <f>(AF117+'R&amp;C-Painel de Controle'!$D$28)*(1+$C$118)</f>
        <v>42.92209004934503</v>
      </c>
      <c r="AG119" s="306">
        <f>(AG117+'R&amp;C-Painel de Controle'!$D$28)*(1+$C$118)</f>
        <v>42.92209004934503</v>
      </c>
      <c r="AH119" s="306">
        <f>(AH117+'R&amp;C-Painel de Controle'!$D$28)*(1+$C$118)</f>
        <v>42.92209004934503</v>
      </c>
      <c r="AI119" s="306">
        <f>(AI117+'R&amp;C-Painel de Controle'!$D$28)*(1+$C$118)</f>
        <v>42.92209004934503</v>
      </c>
      <c r="AJ119" s="306">
        <f>(AJ117+'R&amp;C-Painel de Controle'!$D$28)*(1+$C$118)</f>
        <v>42.92209004934503</v>
      </c>
      <c r="AK119" s="306">
        <f>(AK117+'R&amp;C-Painel de Controle'!$D$28)*(1+$C$118)</f>
        <v>42.92209004934503</v>
      </c>
      <c r="AL119" s="306">
        <f>(AL117+'R&amp;C-Painel de Controle'!$D$28)*(1+$C$118)</f>
        <v>42.92209004934503</v>
      </c>
      <c r="AM119" s="306">
        <f>(AM117+'R&amp;C-Painel de Controle'!$D$28)*(1+$C$118)</f>
        <v>42.92209004934503</v>
      </c>
      <c r="AN119" s="306">
        <f>(AN117+'R&amp;C-Painel de Controle'!$D$28)*(1+$C$118)</f>
        <v>42.92209004934503</v>
      </c>
      <c r="AO119" s="306">
        <f>(AO117+'R&amp;C-Painel de Controle'!$D$28)*(1+$C$118)</f>
        <v>42.92209004934503</v>
      </c>
      <c r="AP119" s="306">
        <f>(AP117+'R&amp;C-Painel de Controle'!$D$28)*(1+$C$118)</f>
        <v>42.92209004934503</v>
      </c>
      <c r="AQ119" s="306">
        <f>(AQ117+'R&amp;C-Painel de Controle'!$D$28)*(1+$C$118)</f>
        <v>42.92209004934503</v>
      </c>
      <c r="AR119" s="306">
        <f>(AR117+'R&amp;C-Painel de Controle'!$D$28)*(1+$C$118)</f>
        <v>42.92209004934503</v>
      </c>
      <c r="AS119" s="306">
        <f>(AS117+'R&amp;C-Painel de Controle'!$D$28)*(1+$C$118)</f>
        <v>42.92209004934503</v>
      </c>
      <c r="AT119" s="306">
        <f>(AT117+'R&amp;C-Painel de Controle'!$D$28)*(1+$C$118)</f>
        <v>42.92209004934503</v>
      </c>
      <c r="AU119" s="306">
        <f>(AU117+'R&amp;C-Painel de Controle'!$D$28)*(1+$C$118)</f>
        <v>42.92209004934503</v>
      </c>
      <c r="AV119" s="306">
        <f>(AV117+'R&amp;C-Painel de Controle'!$D$28)*(1+$C$118)</f>
        <v>42.92209004934503</v>
      </c>
      <c r="AW119" s="306">
        <f>(AW117+'R&amp;C-Painel de Controle'!$D$28)*(1+$C$118)</f>
        <v>42.92209004934503</v>
      </c>
      <c r="AX119" s="306">
        <f>(AX117+'R&amp;C-Painel de Controle'!$D$28)*(1+$C$118)</f>
        <v>42.92209004934503</v>
      </c>
      <c r="AY119" s="306">
        <f>(AY117+'R&amp;C-Painel de Controle'!$D$28)*(1+$C$118)</f>
        <v>42.92209004934503</v>
      </c>
      <c r="AZ119" s="306">
        <f>(AZ117+'R&amp;C-Painel de Controle'!$D$28)*(1+$C$118)</f>
        <v>42.92209004934503</v>
      </c>
      <c r="BA119" s="306">
        <f>(BA117+'R&amp;C-Painel de Controle'!$D$28)*(1+$C$118)</f>
        <v>42.92209004934503</v>
      </c>
      <c r="BB119" s="306">
        <f>(BB117+'R&amp;C-Painel de Controle'!$D$28)*(1+$C$118)</f>
        <v>42.92209004934503</v>
      </c>
      <c r="BC119" s="306">
        <f>(BC117+'R&amp;C-Painel de Controle'!$D$28)*(1+$C$118)</f>
        <v>42.92209004934503</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192495.00000000003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Sim</v>
      </c>
      <c r="D129" s="325">
        <f>D98</f>
        <v>72763.11</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3.4377688408359095</v>
      </c>
      <c r="G131" s="334">
        <f>IF(G45&gt;0,'R&amp;C-Painel de Controle'!$O$59*(1-0.0925)*G35/1000000,0)</f>
        <v>3.4539263543878378</v>
      </c>
      <c r="H131" s="334">
        <f>IF(H45&gt;0,'R&amp;C-Painel de Controle'!$O$59*(1-0.0925)*H35/1000000,0)</f>
        <v>3.4701598082534604</v>
      </c>
      <c r="I131" s="334">
        <f>IF(I45&gt;0,'R&amp;C-Painel de Controle'!$O$59*(1-0.0925)*I35/1000000,0)</f>
        <v>3.4864695593522517</v>
      </c>
      <c r="J131" s="334">
        <f>IF(J45&gt;0,'R&amp;C-Painel de Controle'!$O$59*(1-0.0925)*J35/1000000,0)</f>
        <v>3.5028559662812073</v>
      </c>
      <c r="K131" s="334">
        <f>IF(K45&gt;0,'R&amp;C-Painel de Controle'!$O$59*(1-0.0925)*K35/1000000,0)</f>
        <v>3.5193193893227286</v>
      </c>
      <c r="L131" s="334">
        <f>IF(L45&gt;0,'R&amp;C-Painel de Controle'!$O$59*(1-0.0925)*L35/1000000,0)</f>
        <v>3.5358601904525453</v>
      </c>
      <c r="M131" s="334">
        <f>IF(M45&gt;0,'R&amp;C-Painel de Controle'!$O$59*(1-0.0925)*M35/1000000,0)</f>
        <v>3.5524787333476722</v>
      </c>
      <c r="N131" s="334">
        <f>IF(N45&gt;0,'R&amp;C-Painel de Controle'!$O$59*(1-0.0925)*N35/1000000,0)</f>
        <v>3.5691753833944055</v>
      </c>
      <c r="O131" s="334">
        <f>IF(O45&gt;0,'R&amp;C-Painel de Controle'!$O$59*(1-0.0925)*O35/1000000,0)</f>
        <v>3.5859505076963591</v>
      </c>
      <c r="P131" s="334">
        <f>IF(P45&gt;0,'R&amp;C-Painel de Controle'!$O$59*(1-0.0925)*P35/1000000,0)</f>
        <v>3.6028044750825319</v>
      </c>
      <c r="Q131" s="334">
        <f>IF(Q45&gt;0,'R&amp;C-Painel de Controle'!$O$59*(1-0.0925)*Q35/1000000,0)</f>
        <v>3.6197376561154191</v>
      </c>
      <c r="R131" s="334">
        <f>IF(R45&gt;0,'R&amp;C-Painel de Controle'!$O$59*(1-0.0925)*R35/1000000,0)</f>
        <v>3.6367504230991616</v>
      </c>
      <c r="S131" s="334">
        <f>IF(S45&gt;0,'R&amp;C-Painel de Controle'!$O$59*(1-0.0925)*S35/1000000,0)</f>
        <v>3.6538431500877273</v>
      </c>
      <c r="T131" s="334">
        <f>IF(T45&gt;0,'R&amp;C-Painel de Controle'!$O$59*(1-0.0925)*T35/1000000,0)</f>
        <v>3.6710162128931394</v>
      </c>
      <c r="U131" s="334">
        <f>IF(U45&gt;0,'R&amp;C-Painel de Controle'!$O$59*(1-0.0925)*U35/1000000,0)</f>
        <v>3.6882699890937372</v>
      </c>
      <c r="V131" s="334">
        <f>IF(V45&gt;0,'R&amp;C-Painel de Controle'!$O$59*(1-0.0925)*V35/1000000,0)</f>
        <v>3.7056048580424772</v>
      </c>
      <c r="W131" s="334">
        <f>IF(W45&gt;0,'R&amp;C-Painel de Controle'!$O$59*(1-0.0925)*W35/1000000,0)</f>
        <v>3.7230212008752765</v>
      </c>
      <c r="X131" s="334">
        <f>IF(X45&gt;0,'R&amp;C-Painel de Controle'!$O$59*(1-0.0925)*X35/1000000,0)</f>
        <v>3.74051940051939</v>
      </c>
      <c r="Y131" s="334">
        <f>IF(Y45&gt;0,'R&amp;C-Painel de Controle'!$O$59*(1-0.0925)*Y35/1000000,0)</f>
        <v>3.7580998417018305</v>
      </c>
      <c r="Z131" s="334">
        <f>IF(Z45&gt;0,'R&amp;C-Painel de Controle'!$O$59*(1-0.0925)*Z35/1000000,0)</f>
        <v>3.775762910957829</v>
      </c>
      <c r="AA131" s="334">
        <f>IF(AA45&gt;0,'R&amp;C-Painel de Controle'!$O$59*(1-0.0925)*AA35/1000000,0)</f>
        <v>3.7935089966393303</v>
      </c>
      <c r="AB131" s="334">
        <f>IF(AB45&gt;0,'R&amp;C-Painel de Controle'!$O$59*(1-0.0925)*AB35/1000000,0)</f>
        <v>3.8113384889235351</v>
      </c>
      <c r="AC131" s="334">
        <f>IF(AC45&gt;0,'R&amp;C-Painel de Controle'!$O$59*(1-0.0925)*AC35/1000000,0)</f>
        <v>3.8292517798214751</v>
      </c>
      <c r="AD131" s="334">
        <f>IF(AD45&gt;0,'R&amp;C-Painel de Controle'!$O$59*(1-0.0925)*AD35/1000000,0)</f>
        <v>3.8472492631866362</v>
      </c>
      <c r="AE131" s="334">
        <f>IF(AE45&gt;0,'R&amp;C-Painel de Controle'!$O$59*(1-0.0925)*AE35/1000000,0)</f>
        <v>3.8653313347236131</v>
      </c>
      <c r="AF131" s="334">
        <f>IF(AF45&gt;0,'R&amp;C-Painel de Controle'!$O$59*(1-0.0925)*AF35/1000000,0)</f>
        <v>3.883498391996814</v>
      </c>
      <c r="AG131" s="334">
        <f>IF(AG45&gt;0,'R&amp;C-Painel de Controle'!$O$59*(1-0.0925)*AG35/1000000,0)</f>
        <v>3.9017508344391985</v>
      </c>
      <c r="AH131" s="334">
        <f>IF(AH45&gt;0,'R&amp;C-Painel de Controle'!$O$59*(1-0.0925)*AH35/1000000,0)</f>
        <v>3.9200890633610621</v>
      </c>
      <c r="AI131" s="334">
        <f>IF(AI45&gt;0,'R&amp;C-Painel de Controle'!$O$59*(1-0.0925)*AI35/1000000,0)</f>
        <v>3.9385134819588585</v>
      </c>
      <c r="AJ131" s="334">
        <f>IF(AJ45&gt;0,'R&amp;C-Painel de Controle'!$O$59*(1-0.0925)*AJ35/1000000,0)</f>
        <v>3.957024495324065</v>
      </c>
      <c r="AK131" s="334">
        <f>IF(AK45&gt;0,'R&amp;C-Painel de Controle'!$O$59*(1-0.0925)*AK35/1000000,0)</f>
        <v>3.9756225104520877</v>
      </c>
      <c r="AL131" s="334">
        <f>IF(AL45&gt;0,'R&amp;C-Painel de Controle'!$O$59*(1-0.0925)*AL35/1000000,0)</f>
        <v>3.9943079362512122</v>
      </c>
      <c r="AM131" s="334">
        <f>IF(AM45&gt;0,'R&amp;C-Painel de Controle'!$O$59*(1-0.0925)*AM35/1000000,0)</f>
        <v>4.0130811835515923</v>
      </c>
      <c r="AN131" s="334">
        <f>IF(AN45&gt;0,'R&amp;C-Painel de Controle'!$O$59*(1-0.0925)*AN35/1000000,0)</f>
        <v>4.0319426651142845</v>
      </c>
      <c r="AO131" s="334">
        <f>IF(AO45&gt;0,'R&amp;C-Painel de Controle'!$O$59*(1-0.0925)*AO35/1000000,0)</f>
        <v>4.0508927956403218</v>
      </c>
      <c r="AP131" s="334">
        <f>IF(AP45&gt;0,'R&amp;C-Painel de Controle'!$O$59*(1-0.0925)*AP35/1000000,0)</f>
        <v>4.0699319917798302</v>
      </c>
      <c r="AQ131" s="334">
        <f>IF(AQ45&gt;0,'R&amp;C-Painel de Controle'!$O$59*(1-0.0925)*AQ35/1000000,0)</f>
        <v>4.0890606721411951</v>
      </c>
      <c r="AR131" s="334">
        <f>IF(AR45&gt;0,'R&amp;C-Painel de Controle'!$O$59*(1-0.0925)*AR35/1000000,0)</f>
        <v>4.1082792573002589</v>
      </c>
      <c r="AS131" s="334">
        <f>IF(AS45&gt;0,'R&amp;C-Painel de Controle'!$O$59*(1-0.0925)*AS35/1000000,0)</f>
        <v>4.1275881698095693</v>
      </c>
      <c r="AT131" s="334">
        <f>IF(AT45&gt;0,'R&amp;C-Painel de Controle'!$O$59*(1-0.0925)*AT35/1000000,0)</f>
        <v>4.1469878342076747</v>
      </c>
      <c r="AU131" s="334">
        <f>IF(AU45&gt;0,'R&amp;C-Painel de Controle'!$O$59*(1-0.0925)*AU35/1000000,0)</f>
        <v>4.1664786770284499</v>
      </c>
      <c r="AV131" s="334">
        <f>IF(AV45&gt;0,'R&amp;C-Painel de Controle'!$O$59*(1-0.0925)*AV35/1000000,0)</f>
        <v>4.1860611268104835</v>
      </c>
      <c r="AW131" s="334">
        <f>IF(AW45&gt;0,'R&amp;C-Painel de Controle'!$O$59*(1-0.0925)*AW35/1000000,0)</f>
        <v>4.2057356141064925</v>
      </c>
      <c r="AX131" s="334">
        <f>IF(AX45&gt;0,'R&amp;C-Painel de Controle'!$O$59*(1-0.0925)*AX35/1000000,0)</f>
        <v>4.2255025714927923</v>
      </c>
      <c r="AY131" s="334">
        <f>IF(AY45&gt;0,'R&amp;C-Painel de Controle'!$O$59*(1-0.0925)*AY35/1000000,0)</f>
        <v>4.2453624335788076</v>
      </c>
      <c r="AZ131" s="334">
        <f>IF(AZ45&gt;0,'R&amp;C-Painel de Controle'!$O$59*(1-0.0925)*AZ35/1000000,0)</f>
        <v>4.2653156370166281</v>
      </c>
      <c r="BA131" s="334">
        <f>IF(BA45&gt;0,'R&amp;C-Painel de Controle'!$O$59*(1-0.0925)*BA35/1000000,0)</f>
        <v>4.2853626205106057</v>
      </c>
      <c r="BB131" s="334">
        <f>IF(BB45&gt;0,'R&amp;C-Painel de Controle'!$O$59*(1-0.0925)*BB35/1000000,0)</f>
        <v>4.3055038248270057</v>
      </c>
      <c r="BC131" s="334">
        <f>IF(BC45&gt;0,'R&amp;C-Painel de Controle'!$O$59*(1-0.0925)*BC35/1000000,0)</f>
        <v>4.3257396928036922</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Sim</v>
      </c>
      <c r="D135" s="325">
        <f>D104</f>
        <v>84101.065500000012</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8.6763990843502246</v>
      </c>
      <c r="G137" s="334">
        <f>IF(G51&gt;0,'R&amp;C-Painel de Controle'!$O$65*(1-0.0925-$C$10)*G35/1000000,0)</f>
        <v>8.7171781600466698</v>
      </c>
      <c r="H137" s="334">
        <f>IF(H51&gt;0,'R&amp;C-Painel de Controle'!$O$65*(1-0.0925-$C$10)*H35/1000000,0)</f>
        <v>8.7581488973988897</v>
      </c>
      <c r="I137" s="334">
        <f>IF(I51&gt;0,'R&amp;C-Painel de Controle'!$O$65*(1-0.0925-$C$10)*I35/1000000,0)</f>
        <v>8.799312197216663</v>
      </c>
      <c r="J137" s="334">
        <f>IF(J51&gt;0,'R&amp;C-Painel de Controle'!$O$65*(1-0.0925-$C$10)*J35/1000000,0)</f>
        <v>8.8406689645435819</v>
      </c>
      <c r="K137" s="334">
        <f>IF(K51&gt;0,'R&amp;C-Painel de Controle'!$O$65*(1-0.0925-$C$10)*K35/1000000,0)</f>
        <v>8.8822201086769361</v>
      </c>
      <c r="L137" s="334">
        <f>IF(L51&gt;0,'R&amp;C-Painel de Controle'!$O$65*(1-0.0925-$C$10)*L35/1000000,0)</f>
        <v>8.9239665431877171</v>
      </c>
      <c r="M137" s="334">
        <f>IF(M51&gt;0,'R&amp;C-Painel de Controle'!$O$65*(1-0.0925-$C$10)*M35/1000000,0)</f>
        <v>8.9659091859406974</v>
      </c>
      <c r="N137" s="334">
        <f>IF(N51&gt;0,'R&amp;C-Painel de Controle'!$O$65*(1-0.0925-$C$10)*N35/1000000,0)</f>
        <v>9.0080489591146193</v>
      </c>
      <c r="O137" s="334">
        <f>IF(O51&gt;0,'R&amp;C-Painel de Controle'!$O$65*(1-0.0925-$C$10)*O35/1000000,0)</f>
        <v>9.0503867892224559</v>
      </c>
      <c r="P137" s="334">
        <f>IF(P51&gt;0,'R&amp;C-Painel de Controle'!$O$65*(1-0.0925-$C$10)*P35/1000000,0)</f>
        <v>9.0929236071318016</v>
      </c>
      <c r="Q137" s="334">
        <f>IF(Q51&gt;0,'R&amp;C-Painel de Controle'!$O$65*(1-0.0925-$C$10)*Q35/1000000,0)</f>
        <v>9.135660348085322</v>
      </c>
      <c r="R137" s="334">
        <f>IF(R51&gt;0,'R&amp;C-Painel de Controle'!$O$65*(1-0.0925-$C$10)*R35/1000000,0)</f>
        <v>9.1785979517213221</v>
      </c>
      <c r="S137" s="334">
        <f>IF(S51&gt;0,'R&amp;C-Painel de Controle'!$O$65*(1-0.0925-$C$10)*S35/1000000,0)</f>
        <v>9.2217373620944105</v>
      </c>
      <c r="T137" s="334">
        <f>IF(T51&gt;0,'R&amp;C-Painel de Controle'!$O$65*(1-0.0925-$C$10)*T35/1000000,0)</f>
        <v>9.265079527696253</v>
      </c>
      <c r="U137" s="334">
        <f>IF(U51&gt;0,'R&amp;C-Painel de Controle'!$O$65*(1-0.0925-$C$10)*U35/1000000,0)</f>
        <v>9.3086254014764265</v>
      </c>
      <c r="V137" s="334">
        <f>IF(V51&gt;0,'R&amp;C-Painel de Controle'!$O$65*(1-0.0925-$C$10)*V35/1000000,0)</f>
        <v>9.3523759408633627</v>
      </c>
      <c r="W137" s="334">
        <f>IF(W51&gt;0,'R&amp;C-Painel de Controle'!$O$65*(1-0.0925-$C$10)*W35/1000000,0)</f>
        <v>9.3963321077854207</v>
      </c>
      <c r="X137" s="334">
        <f>IF(X51&gt;0,'R&amp;C-Painel de Controle'!$O$65*(1-0.0925-$C$10)*X35/1000000,0)</f>
        <v>9.4404948686920118</v>
      </c>
      <c r="Y137" s="334">
        <f>IF(Y51&gt;0,'R&amp;C-Painel de Controle'!$O$65*(1-0.0925-$C$10)*Y35/1000000,0)</f>
        <v>9.4848651945748639</v>
      </c>
      <c r="Z137" s="334">
        <f>IF(Z51&gt;0,'R&amp;C-Painel de Controle'!$O$65*(1-0.0925-$C$10)*Z35/1000000,0)</f>
        <v>9.5294440609893645</v>
      </c>
      <c r="AA137" s="334">
        <f>IF(AA51&gt;0,'R&amp;C-Painel de Controle'!$O$65*(1-0.0925-$C$10)*AA35/1000000,0)</f>
        <v>9.5742324480760139</v>
      </c>
      <c r="AB137" s="334">
        <f>IF(AB51&gt;0,'R&amp;C-Painel de Controle'!$O$65*(1-0.0925-$C$10)*AB35/1000000,0)</f>
        <v>9.6192313405819707</v>
      </c>
      <c r="AC137" s="334">
        <f>IF(AC51&gt;0,'R&amp;C-Painel de Controle'!$O$65*(1-0.0925-$C$10)*AC35/1000000,0)</f>
        <v>9.6644417278827035</v>
      </c>
      <c r="AD137" s="334">
        <f>IF(AD51&gt;0,'R&amp;C-Painel de Controle'!$O$65*(1-0.0925-$C$10)*AD35/1000000,0)</f>
        <v>9.7098646040037533</v>
      </c>
      <c r="AE137" s="334">
        <f>IF(AE51&gt;0,'R&amp;C-Painel de Controle'!$O$65*(1-0.0925-$C$10)*AE35/1000000,0)</f>
        <v>9.7555009676425701</v>
      </c>
      <c r="AF137" s="334">
        <f>IF(AF51&gt;0,'R&amp;C-Painel de Controle'!$O$65*(1-0.0925-$C$10)*AF35/1000000,0)</f>
        <v>9.8013518221904903</v>
      </c>
      <c r="AG137" s="334">
        <f>IF(AG51&gt;0,'R&amp;C-Painel de Controle'!$O$65*(1-0.0925-$C$10)*AG35/1000000,0)</f>
        <v>9.8474181757547843</v>
      </c>
      <c r="AH137" s="334">
        <f>IF(AH51&gt;0,'R&amp;C-Painel de Controle'!$O$65*(1-0.0925-$C$10)*AH35/1000000,0)</f>
        <v>9.8937010411808313</v>
      </c>
      <c r="AI137" s="334">
        <f>IF(AI51&gt;0,'R&amp;C-Painel de Controle'!$O$65*(1-0.0925-$C$10)*AI35/1000000,0)</f>
        <v>9.9402014360743784</v>
      </c>
      <c r="AJ137" s="334">
        <f>IF(AJ51&gt;0,'R&amp;C-Painel de Controle'!$O$65*(1-0.0925-$C$10)*AJ35/1000000,0)</f>
        <v>9.9869203828239268</v>
      </c>
      <c r="AK137" s="334">
        <f>IF(AK51&gt;0,'R&amp;C-Painel de Controle'!$O$65*(1-0.0925-$C$10)*AK35/1000000,0)</f>
        <v>10.033858908623198</v>
      </c>
      <c r="AL137" s="334">
        <f>IF(AL51&gt;0,'R&amp;C-Painel de Controle'!$O$65*(1-0.0925-$C$10)*AL35/1000000,0)</f>
        <v>10.081018045493728</v>
      </c>
      <c r="AM137" s="334">
        <f>IF(AM51&gt;0,'R&amp;C-Painel de Controle'!$O$65*(1-0.0925-$C$10)*AM35/1000000,0)</f>
        <v>10.128398830307548</v>
      </c>
      <c r="AN137" s="334">
        <f>IF(AN51&gt;0,'R&amp;C-Painel de Controle'!$O$65*(1-0.0925-$C$10)*AN35/1000000,0)</f>
        <v>10.176002304809991</v>
      </c>
      <c r="AO137" s="334">
        <f>IF(AO51&gt;0,'R&amp;C-Painel de Controle'!$O$65*(1-0.0925-$C$10)*AO35/1000000,0)</f>
        <v>10.223829515642596</v>
      </c>
      <c r="AP137" s="334">
        <f>IF(AP51&gt;0,'R&amp;C-Painel de Controle'!$O$65*(1-0.0925-$C$10)*AP35/1000000,0)</f>
        <v>10.271881514366116</v>
      </c>
      <c r="AQ137" s="334">
        <f>IF(AQ51&gt;0,'R&amp;C-Painel de Controle'!$O$65*(1-0.0925-$C$10)*AQ35/1000000,0)</f>
        <v>10.320159357483634</v>
      </c>
      <c r="AR137" s="334">
        <f>IF(AR51&gt;0,'R&amp;C-Painel de Controle'!$O$65*(1-0.0925-$C$10)*AR35/1000000,0)</f>
        <v>10.368664106463809</v>
      </c>
      <c r="AS137" s="334">
        <f>IF(AS51&gt;0,'R&amp;C-Painel de Controle'!$O$65*(1-0.0925-$C$10)*AS35/1000000,0)</f>
        <v>10.417396827764186</v>
      </c>
      <c r="AT137" s="334">
        <f>IF(AT51&gt;0,'R&amp;C-Painel de Controle'!$O$65*(1-0.0925-$C$10)*AT35/1000000,0)</f>
        <v>10.466358592854679</v>
      </c>
      <c r="AU137" s="334">
        <f>IF(AU51&gt;0,'R&amp;C-Painel de Controle'!$O$65*(1-0.0925-$C$10)*AU35/1000000,0)</f>
        <v>10.515550478241094</v>
      </c>
      <c r="AV137" s="334">
        <f>IF(AV51&gt;0,'R&amp;C-Painel de Controle'!$O$65*(1-0.0925-$C$10)*AV35/1000000,0)</f>
        <v>10.564973565488826</v>
      </c>
      <c r="AW137" s="334">
        <f>IF(AW51&gt;0,'R&amp;C-Painel de Controle'!$O$65*(1-0.0925-$C$10)*AW35/1000000,0)</f>
        <v>10.614628941246622</v>
      </c>
      <c r="AX137" s="334">
        <f>IF(AX51&gt;0,'R&amp;C-Painel de Controle'!$O$65*(1-0.0925-$C$10)*AX35/1000000,0)</f>
        <v>10.664517697270481</v>
      </c>
      <c r="AY137" s="334">
        <f>IF(AY51&gt;0,'R&amp;C-Painel de Controle'!$O$65*(1-0.0925-$C$10)*AY35/1000000,0)</f>
        <v>10.714640930447651</v>
      </c>
      <c r="AZ137" s="334">
        <f>IF(AZ51&gt;0,'R&amp;C-Painel de Controle'!$O$65*(1-0.0925-$C$10)*AZ35/1000000,0)</f>
        <v>10.764999742820754</v>
      </c>
      <c r="BA137" s="334">
        <f>IF(BA51&gt;0,'R&amp;C-Painel de Controle'!$O$65*(1-0.0925-$C$10)*BA35/1000000,0)</f>
        <v>10.815595241612012</v>
      </c>
      <c r="BB137" s="334">
        <f>IF(BB51&gt;0,'R&amp;C-Painel de Controle'!$O$65*(1-0.0925-$C$10)*BB35/1000000,0)</f>
        <v>10.866428539247588</v>
      </c>
      <c r="BC137" s="334">
        <f>IF(BC51&gt;0,'R&amp;C-Painel de Controle'!$O$65*(1-0.0925-$C$10)*BC35/1000000,0)</f>
        <v>10.917500753382049</v>
      </c>
      <c r="BD137" s="305"/>
      <c r="BE137" s="305"/>
      <c r="BF137" s="305"/>
    </row>
    <row r="138" spans="2:58" s="206" customFormat="1" ht="18" hidden="1" customHeight="1" outlineLevel="1" x14ac:dyDescent="0.25">
      <c r="B138" s="906" t="str">
        <f>B107</f>
        <v>Compostagem</v>
      </c>
      <c r="C138" s="325" t="str">
        <f>C107</f>
        <v>Sim</v>
      </c>
      <c r="D138" s="325">
        <f>D107</f>
        <v>71485.905675000002</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Não</v>
      </c>
      <c r="D141" s="325">
        <f>D110</f>
        <v>0</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25">
      <c r="B144" s="906" t="str">
        <f>B113</f>
        <v>Aterro Sanitário</v>
      </c>
      <c r="C144" s="325" t="str">
        <f>C113</f>
        <v>Sim</v>
      </c>
      <c r="D144" s="325">
        <f>D113</f>
        <v>90338.87966875</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45.463520513380764</v>
      </c>
      <c r="D148" s="306">
        <f t="shared" si="51"/>
        <v>45.677199059793644</v>
      </c>
      <c r="E148" s="306">
        <f t="shared" si="51"/>
        <v>45.891881895374674</v>
      </c>
      <c r="F148" s="306">
        <f t="shared" si="51"/>
        <v>46.107573740282923</v>
      </c>
      <c r="G148" s="306">
        <f t="shared" si="51"/>
        <v>46.324279336862261</v>
      </c>
      <c r="H148" s="306">
        <f t="shared" si="51"/>
        <v>46.542003449745508</v>
      </c>
      <c r="I148" s="306">
        <f t="shared" si="51"/>
        <v>46.760750865959317</v>
      </c>
      <c r="J148" s="306">
        <f t="shared" si="51"/>
        <v>46.980526395029315</v>
      </c>
      <c r="K148" s="306">
        <f t="shared" si="51"/>
        <v>47.201334869085954</v>
      </c>
      <c r="L148" s="306">
        <f t="shared" si="51"/>
        <v>47.423181142970662</v>
      </c>
      <c r="M148" s="306">
        <f t="shared" si="51"/>
        <v>47.646070094342612</v>
      </c>
      <c r="N148" s="306">
        <f t="shared" si="51"/>
        <v>47.870006623786018</v>
      </c>
      <c r="O148" s="306">
        <f t="shared" si="51"/>
        <v>48.094995654917817</v>
      </c>
      <c r="P148" s="306">
        <f t="shared" si="51"/>
        <v>48.321042134495919</v>
      </c>
      <c r="Q148" s="306">
        <f t="shared" si="51"/>
        <v>48.548151032528047</v>
      </c>
      <c r="R148" s="306">
        <f t="shared" si="51"/>
        <v>48.776327342380924</v>
      </c>
      <c r="S148" s="306">
        <f t="shared" si="51"/>
        <v>49.005576080890108</v>
      </c>
      <c r="T148" s="306">
        <f t="shared" si="51"/>
        <v>49.235902288470292</v>
      </c>
      <c r="U148" s="306">
        <f t="shared" si="51"/>
        <v>49.467311029226103</v>
      </c>
      <c r="V148" s="306">
        <f t="shared" si="51"/>
        <v>49.699807391063459</v>
      </c>
      <c r="W148" s="306">
        <f t="shared" si="51"/>
        <v>49.933396485801453</v>
      </c>
      <c r="X148" s="306">
        <f t="shared" si="51"/>
        <v>50.168083449284723</v>
      </c>
      <c r="Y148" s="306">
        <f t="shared" si="51"/>
        <v>50.403873441496351</v>
      </c>
      <c r="Z148" s="306">
        <f t="shared" si="51"/>
        <v>50.640771646671375</v>
      </c>
      <c r="AA148" s="306">
        <f t="shared" si="51"/>
        <v>50.878783273410725</v>
      </c>
      <c r="AB148" s="306">
        <f t="shared" si="51"/>
        <v>51.117913554795749</v>
      </c>
      <c r="AC148" s="306">
        <f t="shared" si="51"/>
        <v>51.358167748503298</v>
      </c>
      <c r="AD148" s="306">
        <f t="shared" si="51"/>
        <v>51.599551136921249</v>
      </c>
      <c r="AE148" s="306">
        <f t="shared" si="51"/>
        <v>51.842069027264785</v>
      </c>
      <c r="AF148" s="306">
        <f t="shared" si="51"/>
        <v>52.085726751692924</v>
      </c>
      <c r="AG148" s="306">
        <f t="shared" si="51"/>
        <v>52.330529667425878</v>
      </c>
      <c r="AH148" s="306">
        <f t="shared" si="51"/>
        <v>52.576483156862764</v>
      </c>
      <c r="AI148" s="306">
        <f t="shared" ref="AI148:BC148" si="52">AI35*$H$26*(1-0.0925-$C$10)/1000000+AI149</f>
        <v>52.823592627700023</v>
      </c>
      <c r="AJ148" s="306">
        <f t="shared" si="52"/>
        <v>53.071863513050204</v>
      </c>
      <c r="AK148" s="306">
        <f t="shared" si="52"/>
        <v>53.321301271561531</v>
      </c>
      <c r="AL148" s="306">
        <f t="shared" si="52"/>
        <v>53.571911387537867</v>
      </c>
      <c r="AM148" s="306">
        <f t="shared" si="52"/>
        <v>53.823699371059284</v>
      </c>
      <c r="AN148" s="306">
        <f t="shared" si="52"/>
        <v>54.076670758103269</v>
      </c>
      <c r="AO148" s="306">
        <f t="shared" si="52"/>
        <v>54.330831110666345</v>
      </c>
      <c r="AP148" s="306">
        <f t="shared" si="52"/>
        <v>54.586186016886472</v>
      </c>
      <c r="AQ148" s="306">
        <f t="shared" si="52"/>
        <v>54.842741091165834</v>
      </c>
      <c r="AR148" s="306">
        <f t="shared" si="52"/>
        <v>55.100501974294303</v>
      </c>
      <c r="AS148" s="306">
        <f t="shared" si="52"/>
        <v>55.35947433357348</v>
      </c>
      <c r="AT148" s="306">
        <f t="shared" si="52"/>
        <v>55.619663862941273</v>
      </c>
      <c r="AU148" s="306">
        <f t="shared" si="52"/>
        <v>55.881076283097094</v>
      </c>
      <c r="AV148" s="306">
        <f t="shared" si="52"/>
        <v>56.143717341627649</v>
      </c>
      <c r="AW148" s="306">
        <f t="shared" si="52"/>
        <v>56.407592813133292</v>
      </c>
      <c r="AX148" s="306">
        <f t="shared" si="52"/>
        <v>56.672708499355011</v>
      </c>
      <c r="AY148" s="306">
        <f t="shared" si="52"/>
        <v>56.939070229301976</v>
      </c>
      <c r="AZ148" s="306">
        <f t="shared" si="52"/>
        <v>57.206683859379702</v>
      </c>
      <c r="BA148" s="306">
        <f t="shared" si="52"/>
        <v>57.475555273518772</v>
      </c>
      <c r="BB148" s="306">
        <f t="shared" si="52"/>
        <v>57.745690383304314</v>
      </c>
      <c r="BC148" s="306">
        <f t="shared" si="52"/>
        <v>58.017095128105836</v>
      </c>
    </row>
    <row r="149" spans="2:58" s="206" customFormat="1" ht="16.899999999999999" customHeight="1" x14ac:dyDescent="0.25">
      <c r="B149" s="206" t="s">
        <v>991</v>
      </c>
      <c r="C149" s="306">
        <f>'R&amp;C-Painel de Controle'!D31*312*'R&amp;C-Painel de Controle'!H31*(1-0.0925-$C$10)/1000000</f>
        <v>1.2396774051111275</v>
      </c>
      <c r="D149" s="306">
        <f>C149*(1+'R&amp;C-Painel de Controle'!$D$27)</f>
        <v>1.2455038889151497</v>
      </c>
      <c r="E149" s="306">
        <f>D149*(1+'R&amp;C-Painel de Controle'!$D$27)</f>
        <v>1.2513577571930508</v>
      </c>
      <c r="F149" s="306">
        <f>E149*(1+'R&amp;C-Painel de Controle'!$D$27)</f>
        <v>1.257239138651858</v>
      </c>
      <c r="G149" s="306">
        <f>F149*(1+'R&amp;C-Painel de Controle'!$D$27)</f>
        <v>1.2631481626035217</v>
      </c>
      <c r="H149" s="306">
        <f>G149*(1+'R&amp;C-Painel de Controle'!$D$27)</f>
        <v>1.2690849589677582</v>
      </c>
      <c r="I149" s="306">
        <f>H149*(1+'R&amp;C-Painel de Controle'!$D$27)</f>
        <v>1.2750496582749065</v>
      </c>
      <c r="J149" s="306">
        <f>I149*(1+'R&amp;C-Painel de Controle'!$D$27)</f>
        <v>1.2810423916687985</v>
      </c>
      <c r="K149" s="306">
        <f>J149*(1+'R&amp;C-Painel de Controle'!$D$27)</f>
        <v>1.2870632909096418</v>
      </c>
      <c r="L149" s="306">
        <f>K149*(1+'R&amp;C-Painel de Controle'!$D$27)</f>
        <v>1.2931124883769169</v>
      </c>
      <c r="M149" s="306">
        <f>L149*(1+'R&amp;C-Painel de Controle'!$D$27)</f>
        <v>1.2991901170722884</v>
      </c>
      <c r="N149" s="306">
        <f>M149*(1+'R&amp;C-Painel de Controle'!$D$27)</f>
        <v>1.3052963106225279</v>
      </c>
      <c r="O149" s="306">
        <f>N149*(1+'R&amp;C-Painel de Controle'!$D$27)</f>
        <v>1.3114312032824538</v>
      </c>
      <c r="P149" s="306">
        <f>O149*(1+'R&amp;C-Painel de Controle'!$D$27)</f>
        <v>1.3175949299378813</v>
      </c>
      <c r="Q149" s="306">
        <f>P149*(1+'R&amp;C-Painel de Controle'!$D$27)</f>
        <v>1.3237876261085892</v>
      </c>
      <c r="R149" s="306">
        <f>Q149*(1+'R&amp;C-Painel de Controle'!$D$27)</f>
        <v>1.3300094279512995</v>
      </c>
      <c r="S149" s="306">
        <f>R149*(1+'R&amp;C-Painel de Controle'!$D$27)</f>
        <v>1.3362604722626705</v>
      </c>
      <c r="T149" s="306">
        <f>S149*(1+'R&amp;C-Painel de Controle'!$D$27)</f>
        <v>1.3425408964823049</v>
      </c>
      <c r="U149" s="306">
        <f>T149*(1+'R&amp;C-Painel de Controle'!$D$27)</f>
        <v>1.3488508386957716</v>
      </c>
      <c r="V149" s="306">
        <f>U149*(1+'R&amp;C-Painel de Controle'!$D$27)</f>
        <v>1.3551904376376416</v>
      </c>
      <c r="W149" s="306">
        <f>V149*(1+'R&amp;C-Painel de Controle'!$D$27)</f>
        <v>1.3615598326945384</v>
      </c>
      <c r="X149" s="306">
        <f>W149*(1+'R&amp;C-Painel de Controle'!$D$27)</f>
        <v>1.3679591639082027</v>
      </c>
      <c r="Y149" s="306">
        <f>X149*(1+'R&amp;C-Painel de Controle'!$D$27)</f>
        <v>1.3743885719785711</v>
      </c>
      <c r="Z149" s="306">
        <f>Y149*(1+'R&amp;C-Painel de Controle'!$D$27)</f>
        <v>1.3808481982668703</v>
      </c>
      <c r="AA149" s="306">
        <f>Z149*(1+'R&amp;C-Painel de Controle'!$D$27)</f>
        <v>1.3873381847987245</v>
      </c>
      <c r="AB149" s="306">
        <f>AA149*(1+'R&amp;C-Painel de Controle'!$D$27)</f>
        <v>1.3938586742672785</v>
      </c>
      <c r="AC149" s="306">
        <f>AB149*(1+'R&amp;C-Painel de Controle'!$D$27)</f>
        <v>1.4004098100363347</v>
      </c>
      <c r="AD149" s="306">
        <f>AC149*(1+'R&amp;C-Painel de Controle'!$D$27)</f>
        <v>1.4069917361435054</v>
      </c>
      <c r="AE149" s="306">
        <f>AD149*(1+'R&amp;C-Painel de Controle'!$D$27)</f>
        <v>1.4136045973033797</v>
      </c>
      <c r="AF149" s="306">
        <f>AE149*(1+'R&amp;C-Painel de Controle'!$D$27)</f>
        <v>1.4202485389107056</v>
      </c>
      <c r="AG149" s="306">
        <f>AF149*(1+'R&amp;C-Painel de Controle'!$D$27)</f>
        <v>1.4269237070435858</v>
      </c>
      <c r="AH149" s="306">
        <f>AG149*(1+'R&amp;C-Painel de Controle'!$D$27)</f>
        <v>1.4336302484666905</v>
      </c>
      <c r="AI149" s="306">
        <f>AH149*(1+'R&amp;C-Painel de Controle'!$D$27)</f>
        <v>1.4403683106344838</v>
      </c>
      <c r="AJ149" s="306">
        <f>AI149*(1+'R&amp;C-Painel de Controle'!$D$27)</f>
        <v>1.4471380416944657</v>
      </c>
      <c r="AK149" s="306">
        <f>AJ149*(1+'R&amp;C-Painel de Controle'!$D$27)</f>
        <v>1.4539395904904295</v>
      </c>
      <c r="AL149" s="306">
        <f>AK149*(1+'R&amp;C-Painel de Controle'!$D$27)</f>
        <v>1.4607731065657343</v>
      </c>
      <c r="AM149" s="306">
        <f>AL149*(1+'R&amp;C-Painel de Controle'!$D$27)</f>
        <v>1.4676387401665931</v>
      </c>
      <c r="AN149" s="306">
        <f>AM149*(1+'R&amp;C-Painel de Controle'!$D$27)</f>
        <v>1.4745366422453761</v>
      </c>
      <c r="AO149" s="306">
        <f>AN149*(1+'R&amp;C-Painel de Controle'!$D$27)</f>
        <v>1.4814669644639291</v>
      </c>
      <c r="AP149" s="306">
        <f>AO149*(1+'R&amp;C-Painel de Controle'!$D$27)</f>
        <v>1.4884298591969094</v>
      </c>
      <c r="AQ149" s="306">
        <f>AP149*(1+'R&amp;C-Painel de Controle'!$D$27)</f>
        <v>1.4954254795351347</v>
      </c>
      <c r="AR149" s="306">
        <f>AQ149*(1+'R&amp;C-Painel de Controle'!$D$27)</f>
        <v>1.5024539792889497</v>
      </c>
      <c r="AS149" s="306">
        <f>AR149*(1+'R&amp;C-Painel de Controle'!$D$27)</f>
        <v>1.5095155129916078</v>
      </c>
      <c r="AT149" s="306">
        <f>AS149*(1+'R&amp;C-Painel de Controle'!$D$27)</f>
        <v>1.5166102359026683</v>
      </c>
      <c r="AU149" s="306">
        <f>AT149*(1+'R&amp;C-Painel de Controle'!$D$27)</f>
        <v>1.5237383040114107</v>
      </c>
      <c r="AV149" s="306">
        <f>AU149*(1+'R&amp;C-Painel de Controle'!$D$27)</f>
        <v>1.5308998740402642</v>
      </c>
      <c r="AW149" s="306">
        <f>AV149*(1+'R&amp;C-Painel de Controle'!$D$27)</f>
        <v>1.5380951034482533</v>
      </c>
      <c r="AX149" s="306">
        <f>AW149*(1+'R&amp;C-Painel de Controle'!$D$27)</f>
        <v>1.5453241504344599</v>
      </c>
      <c r="AY149" s="306">
        <f>AX149*(1+'R&amp;C-Painel de Controle'!$D$27)</f>
        <v>1.5525871739415018</v>
      </c>
      <c r="AZ149" s="306">
        <f>AY149*(1+'R&amp;C-Painel de Controle'!$D$27)</f>
        <v>1.5598843336590267</v>
      </c>
      <c r="BA149" s="306">
        <f>AZ149*(1+'R&amp;C-Painel de Controle'!$D$27)</f>
        <v>1.5672157900272239</v>
      </c>
      <c r="BB149" s="306">
        <f>BA149*(1+'R&amp;C-Painel de Controle'!$D$27)</f>
        <v>1.5745817042403518</v>
      </c>
      <c r="BC149" s="306">
        <f>BB149*(1+'R&amp;C-Painel de Controle'!$D$27)</f>
        <v>1.5819822382502813</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36.748807660880765</v>
      </c>
      <c r="D151" s="307">
        <f t="shared" si="53"/>
        <v>36.962486207293644</v>
      </c>
      <c r="E151" s="307">
        <f t="shared" si="53"/>
        <v>37.177169042874674</v>
      </c>
      <c r="F151" s="307">
        <f t="shared" si="53"/>
        <v>3.1854836909378932</v>
      </c>
      <c r="G151" s="307">
        <f t="shared" si="53"/>
        <v>3.4021892875172313</v>
      </c>
      <c r="H151" s="307">
        <f t="shared" si="53"/>
        <v>3.6199134004004776</v>
      </c>
      <c r="I151" s="307">
        <f t="shared" si="53"/>
        <v>3.8386608166142864</v>
      </c>
      <c r="J151" s="307">
        <f t="shared" si="53"/>
        <v>4.0584363456842851</v>
      </c>
      <c r="K151" s="307">
        <f t="shared" si="53"/>
        <v>4.2792448197409243</v>
      </c>
      <c r="L151" s="307">
        <f t="shared" si="53"/>
        <v>4.5010910936256323</v>
      </c>
      <c r="M151" s="307">
        <f t="shared" si="53"/>
        <v>4.7239800449975817</v>
      </c>
      <c r="N151" s="307">
        <f t="shared" si="53"/>
        <v>4.9479165744409883</v>
      </c>
      <c r="O151" s="307">
        <f t="shared" si="53"/>
        <v>5.1729056055727867</v>
      </c>
      <c r="P151" s="307">
        <f t="shared" si="53"/>
        <v>5.3989520851508885</v>
      </c>
      <c r="Q151" s="307">
        <f t="shared" si="53"/>
        <v>5.6260609831830166</v>
      </c>
      <c r="R151" s="307">
        <f t="shared" si="53"/>
        <v>5.8542372930358937</v>
      </c>
      <c r="S151" s="307">
        <f t="shared" si="53"/>
        <v>6.0834860315450783</v>
      </c>
      <c r="T151" s="307">
        <f t="shared" si="53"/>
        <v>6.3138122391252622</v>
      </c>
      <c r="U151" s="307">
        <f t="shared" si="53"/>
        <v>6.5452209798810728</v>
      </c>
      <c r="V151" s="307">
        <f t="shared" si="53"/>
        <v>6.7777173417184287</v>
      </c>
      <c r="W151" s="307">
        <f t="shared" si="53"/>
        <v>7.0113064364564224</v>
      </c>
      <c r="X151" s="307">
        <f t="shared" si="53"/>
        <v>7.2459933999396924</v>
      </c>
      <c r="Y151" s="307">
        <f t="shared" si="53"/>
        <v>7.4817833921513213</v>
      </c>
      <c r="Z151" s="307">
        <f t="shared" si="53"/>
        <v>7.718681597326345</v>
      </c>
      <c r="AA151" s="307">
        <f t="shared" si="53"/>
        <v>7.9566932240656953</v>
      </c>
      <c r="AB151" s="307">
        <f t="shared" si="53"/>
        <v>8.1958235054507185</v>
      </c>
      <c r="AC151" s="307">
        <f t="shared" si="53"/>
        <v>8.4360776991582682</v>
      </c>
      <c r="AD151" s="307">
        <f t="shared" si="53"/>
        <v>8.6774610875762193</v>
      </c>
      <c r="AE151" s="307">
        <f t="shared" si="53"/>
        <v>8.9199789779197545</v>
      </c>
      <c r="AF151" s="307">
        <f t="shared" si="53"/>
        <v>9.163636702347894</v>
      </c>
      <c r="AG151" s="307">
        <f t="shared" si="53"/>
        <v>9.4084396180808483</v>
      </c>
      <c r="AH151" s="307">
        <f t="shared" si="53"/>
        <v>9.6543931075177341</v>
      </c>
      <c r="AI151" s="307">
        <f t="shared" si="53"/>
        <v>9.901502578354993</v>
      </c>
      <c r="AJ151" s="307">
        <f t="shared" si="53"/>
        <v>10.149773463705174</v>
      </c>
      <c r="AK151" s="307">
        <f t="shared" si="53"/>
        <v>10.399211222216501</v>
      </c>
      <c r="AL151" s="307">
        <f t="shared" si="53"/>
        <v>10.649821338192837</v>
      </c>
      <c r="AM151" s="307">
        <f t="shared" si="53"/>
        <v>10.901609321714254</v>
      </c>
      <c r="AN151" s="307">
        <f t="shared" si="53"/>
        <v>11.154580708758239</v>
      </c>
      <c r="AO151" s="307">
        <f t="shared" si="53"/>
        <v>11.408741061321315</v>
      </c>
      <c r="AP151" s="307">
        <f t="shared" si="53"/>
        <v>11.664095967541442</v>
      </c>
      <c r="AQ151" s="307">
        <f t="shared" si="53"/>
        <v>11.920651041820804</v>
      </c>
      <c r="AR151" s="307">
        <f t="shared" si="53"/>
        <v>12.178411924949273</v>
      </c>
      <c r="AS151" s="307">
        <f t="shared" si="53"/>
        <v>12.43738428422845</v>
      </c>
      <c r="AT151" s="307">
        <f t="shared" si="53"/>
        <v>12.697573813596243</v>
      </c>
      <c r="AU151" s="307">
        <f t="shared" si="53"/>
        <v>12.958986233752064</v>
      </c>
      <c r="AV151" s="307">
        <f t="shared" si="53"/>
        <v>13.221627292282619</v>
      </c>
      <c r="AW151" s="307">
        <f t="shared" si="53"/>
        <v>13.485502763788261</v>
      </c>
      <c r="AX151" s="307">
        <f t="shared" si="53"/>
        <v>13.750618450009981</v>
      </c>
      <c r="AY151" s="307">
        <f t="shared" si="53"/>
        <v>14.016980179956946</v>
      </c>
      <c r="AZ151" s="307">
        <f t="shared" si="53"/>
        <v>14.284593810034671</v>
      </c>
      <c r="BA151" s="307">
        <f t="shared" si="53"/>
        <v>14.553465224173742</v>
      </c>
      <c r="BB151" s="307">
        <f t="shared" si="53"/>
        <v>14.823600333959284</v>
      </c>
      <c r="BC151" s="307">
        <f t="shared" si="53"/>
        <v>15.095005078760806</v>
      </c>
    </row>
    <row r="152" spans="2:58" s="206" customFormat="1" ht="16.899999999999999" customHeight="1" outlineLevel="1" x14ac:dyDescent="0.25">
      <c r="B152" s="206" t="s">
        <v>413</v>
      </c>
      <c r="C152" s="307">
        <f>C63</f>
        <v>93.431503826243699</v>
      </c>
      <c r="D152" s="307">
        <f>IF(SUM($C$152:C152)&lt;'R&amp;C-Painel de Controle'!$H$24,D63,0)</f>
        <v>136.50031633704398</v>
      </c>
      <c r="E152" s="307">
        <f>IF(SUM($C$152:D152)&lt;'R&amp;C-Painel de Controle'!$H$24,E63,0)</f>
        <v>129.35464431756364</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-56.682696165362934</v>
      </c>
      <c r="D153" s="307">
        <f t="shared" si="54"/>
        <v>-99.537830129750347</v>
      </c>
      <c r="E153" s="307">
        <f t="shared" si="54"/>
        <v>-92.177475274688959</v>
      </c>
      <c r="F153" s="307">
        <f t="shared" si="54"/>
        <v>3.1854836909378932</v>
      </c>
      <c r="G153" s="307">
        <f t="shared" si="54"/>
        <v>3.4021892875172313</v>
      </c>
      <c r="H153" s="307">
        <f t="shared" si="54"/>
        <v>3.6199134004004776</v>
      </c>
      <c r="I153" s="307">
        <f t="shared" si="54"/>
        <v>3.8386608166142864</v>
      </c>
      <c r="J153" s="307">
        <f t="shared" si="54"/>
        <v>4.0584363456842851</v>
      </c>
      <c r="K153" s="307">
        <f t="shared" si="54"/>
        <v>4.2792448197409243</v>
      </c>
      <c r="L153" s="307">
        <f t="shared" si="54"/>
        <v>4.5010910936256323</v>
      </c>
      <c r="M153" s="307">
        <f t="shared" si="54"/>
        <v>4.7239800449975817</v>
      </c>
      <c r="N153" s="307">
        <f t="shared" si="54"/>
        <v>4.9479165744409883</v>
      </c>
      <c r="O153" s="307">
        <f t="shared" si="54"/>
        <v>5.1729056055727867</v>
      </c>
      <c r="P153" s="307">
        <f t="shared" si="54"/>
        <v>5.3989520851508885</v>
      </c>
      <c r="Q153" s="307">
        <f t="shared" si="54"/>
        <v>5.6260609831830166</v>
      </c>
      <c r="R153" s="307">
        <f t="shared" si="54"/>
        <v>5.8542372930358937</v>
      </c>
      <c r="S153" s="307">
        <f t="shared" si="54"/>
        <v>6.0834860315450783</v>
      </c>
      <c r="T153" s="307">
        <f t="shared" si="54"/>
        <v>6.3138122391252622</v>
      </c>
      <c r="U153" s="307">
        <f t="shared" si="54"/>
        <v>6.5452209798810728</v>
      </c>
      <c r="V153" s="307">
        <f t="shared" si="54"/>
        <v>6.7777173417184287</v>
      </c>
      <c r="W153" s="307">
        <f t="shared" si="54"/>
        <v>7.0113064364564224</v>
      </c>
      <c r="X153" s="307">
        <f t="shared" si="54"/>
        <v>7.2459933999396924</v>
      </c>
      <c r="Y153" s="307">
        <f t="shared" si="54"/>
        <v>7.4817833921513213</v>
      </c>
      <c r="Z153" s="307">
        <f t="shared" si="54"/>
        <v>7.718681597326345</v>
      </c>
      <c r="AA153" s="307">
        <f t="shared" si="54"/>
        <v>7.9566932240656953</v>
      </c>
      <c r="AB153" s="307">
        <f t="shared" si="54"/>
        <v>8.1958235054507185</v>
      </c>
      <c r="AC153" s="307">
        <f t="shared" si="54"/>
        <v>8.4360776991582682</v>
      </c>
      <c r="AD153" s="307">
        <f t="shared" si="54"/>
        <v>8.6774610875762193</v>
      </c>
      <c r="AE153" s="307">
        <f t="shared" si="54"/>
        <v>8.9199789779197545</v>
      </c>
      <c r="AF153" s="307">
        <f t="shared" si="54"/>
        <v>9.163636702347894</v>
      </c>
      <c r="AG153" s="307">
        <f t="shared" si="54"/>
        <v>9.4084396180808483</v>
      </c>
      <c r="AH153" s="307">
        <f t="shared" si="54"/>
        <v>9.6543931075177341</v>
      </c>
      <c r="AI153" s="307">
        <f t="shared" si="54"/>
        <v>9.901502578354993</v>
      </c>
      <c r="AJ153" s="307">
        <f t="shared" si="54"/>
        <v>10.149773463705174</v>
      </c>
      <c r="AK153" s="307">
        <f t="shared" si="54"/>
        <v>10.399211222216501</v>
      </c>
      <c r="AL153" s="307">
        <f t="shared" si="54"/>
        <v>10.649821338192837</v>
      </c>
      <c r="AM153" s="307">
        <f t="shared" si="54"/>
        <v>10.901609321714254</v>
      </c>
      <c r="AN153" s="307">
        <f t="shared" si="54"/>
        <v>11.154580708758239</v>
      </c>
      <c r="AO153" s="307">
        <f t="shared" si="54"/>
        <v>11.408741061321315</v>
      </c>
      <c r="AP153" s="307">
        <f t="shared" si="54"/>
        <v>11.664095967541442</v>
      </c>
      <c r="AQ153" s="307">
        <f t="shared" si="54"/>
        <v>11.920651041820804</v>
      </c>
      <c r="AR153" s="307">
        <f t="shared" si="54"/>
        <v>12.178411924949273</v>
      </c>
      <c r="AS153" s="307">
        <f t="shared" si="54"/>
        <v>12.43738428422845</v>
      </c>
      <c r="AT153" s="307">
        <f t="shared" si="54"/>
        <v>12.697573813596243</v>
      </c>
      <c r="AU153" s="307">
        <f t="shared" si="54"/>
        <v>12.958986233752064</v>
      </c>
      <c r="AV153" s="307">
        <f t="shared" si="54"/>
        <v>13.221627292282619</v>
      </c>
      <c r="AW153" s="307">
        <f t="shared" si="54"/>
        <v>13.485502763788261</v>
      </c>
      <c r="AX153" s="307">
        <f t="shared" si="54"/>
        <v>13.750618450009981</v>
      </c>
      <c r="AY153" s="307">
        <f t="shared" si="54"/>
        <v>14.016980179956946</v>
      </c>
      <c r="AZ153" s="307">
        <f t="shared" si="54"/>
        <v>14.284593810034671</v>
      </c>
      <c r="BA153" s="307">
        <f t="shared" si="54"/>
        <v>14.553465224173742</v>
      </c>
      <c r="BB153" s="307">
        <f t="shared" si="54"/>
        <v>14.823600333959284</v>
      </c>
      <c r="BC153" s="307">
        <f t="shared" si="54"/>
        <v>15.095005078760806</v>
      </c>
    </row>
    <row r="154" spans="2:58" s="206" customFormat="1" ht="16.899999999999999" customHeight="1" outlineLevel="1" x14ac:dyDescent="0.25">
      <c r="B154" s="301" t="s">
        <v>415</v>
      </c>
      <c r="C154" s="307">
        <f>IF((C153&gt;0),C153*(1-($C$26+$C$25)),C153)</f>
        <v>-56.682696165362934</v>
      </c>
      <c r="D154" s="307">
        <f t="shared" ref="D154:BC154" si="55">IF((D153&gt;0),D153*(1-($C$26+$C$25)),D153)</f>
        <v>-99.537830129750347</v>
      </c>
      <c r="E154" s="307">
        <f t="shared" si="55"/>
        <v>-92.177475274688959</v>
      </c>
      <c r="F154" s="307">
        <f t="shared" si="55"/>
        <v>2.1024192360190095</v>
      </c>
      <c r="G154" s="307">
        <f t="shared" si="55"/>
        <v>2.2454449297613728</v>
      </c>
      <c r="H154" s="307">
        <f t="shared" si="55"/>
        <v>2.3891428442643154</v>
      </c>
      <c r="I154" s="307">
        <f t="shared" si="55"/>
        <v>2.533516138965429</v>
      </c>
      <c r="J154" s="307">
        <f t="shared" si="55"/>
        <v>2.6785679881516282</v>
      </c>
      <c r="K154" s="307">
        <f t="shared" si="55"/>
        <v>2.82430158102901</v>
      </c>
      <c r="L154" s="307">
        <f t="shared" si="55"/>
        <v>2.9707201217929176</v>
      </c>
      <c r="M154" s="307">
        <f t="shared" si="55"/>
        <v>3.1178268296984042</v>
      </c>
      <c r="N154" s="307">
        <f t="shared" si="55"/>
        <v>3.2656249391310523</v>
      </c>
      <c r="O154" s="307">
        <f t="shared" si="55"/>
        <v>3.4141176996780396</v>
      </c>
      <c r="P154" s="307">
        <f t="shared" si="55"/>
        <v>3.5633083761995867</v>
      </c>
      <c r="Q154" s="307">
        <f t="shared" si="55"/>
        <v>3.7132002489007911</v>
      </c>
      <c r="R154" s="307">
        <f t="shared" si="55"/>
        <v>3.8637966134036899</v>
      </c>
      <c r="S154" s="307">
        <f t="shared" si="55"/>
        <v>4.0151007808197514</v>
      </c>
      <c r="T154" s="307">
        <f t="shared" si="55"/>
        <v>4.1671160778226737</v>
      </c>
      <c r="U154" s="307">
        <f t="shared" si="55"/>
        <v>4.319845846721508</v>
      </c>
      <c r="V154" s="307">
        <f t="shared" si="55"/>
        <v>4.4732934455341633</v>
      </c>
      <c r="W154" s="307">
        <f t="shared" si="55"/>
        <v>4.6274622480612386</v>
      </c>
      <c r="X154" s="307">
        <f t="shared" si="55"/>
        <v>4.7823556439601971</v>
      </c>
      <c r="Y154" s="307">
        <f t="shared" si="55"/>
        <v>4.9379770388198727</v>
      </c>
      <c r="Z154" s="307">
        <f t="shared" si="55"/>
        <v>5.0943298542353883</v>
      </c>
      <c r="AA154" s="307">
        <f t="shared" si="55"/>
        <v>5.2514175278833592</v>
      </c>
      <c r="AB154" s="307">
        <f t="shared" si="55"/>
        <v>5.4092435135974748</v>
      </c>
      <c r="AC154" s="307">
        <f t="shared" si="55"/>
        <v>5.5678112814444569</v>
      </c>
      <c r="AD154" s="307">
        <f t="shared" si="55"/>
        <v>5.7271243178003051</v>
      </c>
      <c r="AE154" s="307">
        <f t="shared" si="55"/>
        <v>5.8871861254270383</v>
      </c>
      <c r="AF154" s="307">
        <f t="shared" si="55"/>
        <v>6.04800022354961</v>
      </c>
      <c r="AG154" s="307">
        <f t="shared" si="55"/>
        <v>6.20957014793336</v>
      </c>
      <c r="AH154" s="307">
        <f t="shared" si="55"/>
        <v>6.3718994509617044</v>
      </c>
      <c r="AI154" s="307">
        <f t="shared" si="55"/>
        <v>6.5349917017142953</v>
      </c>
      <c r="AJ154" s="307">
        <f t="shared" si="55"/>
        <v>6.6988504860454148</v>
      </c>
      <c r="AK154" s="307">
        <f t="shared" si="55"/>
        <v>6.8634794066628908</v>
      </c>
      <c r="AL154" s="307">
        <f t="shared" si="55"/>
        <v>7.0288820832072725</v>
      </c>
      <c r="AM154" s="307">
        <f t="shared" si="55"/>
        <v>7.195062152331408</v>
      </c>
      <c r="AN154" s="307">
        <f t="shared" si="55"/>
        <v>7.3620232677804385</v>
      </c>
      <c r="AO154" s="307">
        <f t="shared" si="55"/>
        <v>7.5297691004720679</v>
      </c>
      <c r="AP154" s="307">
        <f t="shared" si="55"/>
        <v>7.6983033385773521</v>
      </c>
      <c r="AQ154" s="307">
        <f t="shared" si="55"/>
        <v>7.8676296876017311</v>
      </c>
      <c r="AR154" s="307">
        <f t="shared" si="55"/>
        <v>8.0377518704665203</v>
      </c>
      <c r="AS154" s="307">
        <f t="shared" si="55"/>
        <v>8.2086736275907768</v>
      </c>
      <c r="AT154" s="307">
        <f t="shared" si="55"/>
        <v>8.3803987169735201</v>
      </c>
      <c r="AU154" s="307">
        <f t="shared" si="55"/>
        <v>8.552930914276363</v>
      </c>
      <c r="AV154" s="307">
        <f t="shared" si="55"/>
        <v>8.7262740129065293</v>
      </c>
      <c r="AW154" s="307">
        <f t="shared" si="55"/>
        <v>8.9004318241002522</v>
      </c>
      <c r="AX154" s="307">
        <f t="shared" si="55"/>
        <v>9.0754081770065884</v>
      </c>
      <c r="AY154" s="307">
        <f t="shared" si="55"/>
        <v>9.2512069187715849</v>
      </c>
      <c r="AZ154" s="307">
        <f t="shared" si="55"/>
        <v>9.4278319146228835</v>
      </c>
      <c r="BA154" s="307">
        <f t="shared" si="55"/>
        <v>9.6052870479546701</v>
      </c>
      <c r="BB154" s="307">
        <f t="shared" si="55"/>
        <v>9.7835762204131278</v>
      </c>
      <c r="BC154" s="307">
        <f t="shared" si="55"/>
        <v>9.9627033519821335</v>
      </c>
    </row>
    <row r="155" spans="2:58" s="206" customFormat="1" ht="16.899999999999999" customHeight="1" outlineLevel="1" x14ac:dyDescent="0.25">
      <c r="C155" s="321"/>
      <c r="D155" s="321"/>
      <c r="E155" s="321"/>
      <c r="F155" s="321"/>
      <c r="G155" s="321"/>
      <c r="H155" s="321"/>
      <c r="I155" s="321"/>
      <c r="J155" s="321"/>
      <c r="K155" s="321"/>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-56.682696165362934</v>
      </c>
      <c r="D156" s="307">
        <f t="shared" ref="D156:BC156" si="56">D154</f>
        <v>-99.537830129750347</v>
      </c>
      <c r="E156" s="307">
        <f t="shared" si="56"/>
        <v>-92.177475274688959</v>
      </c>
      <c r="F156" s="307">
        <f t="shared" si="56"/>
        <v>2.1024192360190095</v>
      </c>
      <c r="G156" s="307">
        <f t="shared" si="56"/>
        <v>2.2454449297613728</v>
      </c>
      <c r="H156" s="307">
        <f t="shared" si="56"/>
        <v>2.3891428442643154</v>
      </c>
      <c r="I156" s="307">
        <f t="shared" si="56"/>
        <v>2.533516138965429</v>
      </c>
      <c r="J156" s="307">
        <f t="shared" si="56"/>
        <v>2.6785679881516282</v>
      </c>
      <c r="K156" s="307">
        <f t="shared" si="56"/>
        <v>2.82430158102901</v>
      </c>
      <c r="L156" s="307">
        <f t="shared" si="56"/>
        <v>2.9707201217929176</v>
      </c>
      <c r="M156" s="307">
        <f t="shared" si="56"/>
        <v>3.1178268296984042</v>
      </c>
      <c r="N156" s="307">
        <f t="shared" si="56"/>
        <v>3.2656249391310523</v>
      </c>
      <c r="O156" s="307">
        <f t="shared" si="56"/>
        <v>3.4141176996780396</v>
      </c>
      <c r="P156" s="307">
        <f t="shared" si="56"/>
        <v>3.5633083761995867</v>
      </c>
      <c r="Q156" s="307">
        <f t="shared" si="56"/>
        <v>3.7132002489007911</v>
      </c>
      <c r="R156" s="307">
        <f t="shared" si="56"/>
        <v>3.8637966134036899</v>
      </c>
      <c r="S156" s="307">
        <f t="shared" si="56"/>
        <v>4.0151007808197514</v>
      </c>
      <c r="T156" s="307">
        <f t="shared" si="56"/>
        <v>4.1671160778226737</v>
      </c>
      <c r="U156" s="307">
        <f t="shared" si="56"/>
        <v>4.319845846721508</v>
      </c>
      <c r="V156" s="307">
        <f t="shared" si="56"/>
        <v>4.4732934455341633</v>
      </c>
      <c r="W156" s="307">
        <f t="shared" si="56"/>
        <v>4.6274622480612386</v>
      </c>
      <c r="X156" s="307">
        <f t="shared" si="56"/>
        <v>4.7823556439601971</v>
      </c>
      <c r="Y156" s="307">
        <f t="shared" si="56"/>
        <v>4.9379770388198727</v>
      </c>
      <c r="Z156" s="307">
        <f t="shared" si="56"/>
        <v>5.0943298542353883</v>
      </c>
      <c r="AA156" s="307">
        <f t="shared" si="56"/>
        <v>5.2514175278833592</v>
      </c>
      <c r="AB156" s="307">
        <f t="shared" si="56"/>
        <v>5.4092435135974748</v>
      </c>
      <c r="AC156" s="307">
        <f t="shared" si="56"/>
        <v>5.5678112814444569</v>
      </c>
      <c r="AD156" s="307">
        <f t="shared" si="56"/>
        <v>5.7271243178003051</v>
      </c>
      <c r="AE156" s="307">
        <f t="shared" si="56"/>
        <v>5.8871861254270383</v>
      </c>
      <c r="AF156" s="307">
        <f t="shared" si="56"/>
        <v>6.04800022354961</v>
      </c>
      <c r="AG156" s="307">
        <f t="shared" si="56"/>
        <v>6.20957014793336</v>
      </c>
      <c r="AH156" s="307">
        <f t="shared" si="56"/>
        <v>6.3718994509617044</v>
      </c>
      <c r="AI156" s="307">
        <f t="shared" si="56"/>
        <v>6.5349917017142953</v>
      </c>
      <c r="AJ156" s="307">
        <f t="shared" si="56"/>
        <v>6.6988504860454148</v>
      </c>
      <c r="AK156" s="307">
        <f t="shared" si="56"/>
        <v>6.8634794066628908</v>
      </c>
      <c r="AL156" s="307">
        <f t="shared" si="56"/>
        <v>7.0288820832072725</v>
      </c>
      <c r="AM156" s="307">
        <f t="shared" si="56"/>
        <v>7.195062152331408</v>
      </c>
      <c r="AN156" s="307">
        <f t="shared" si="56"/>
        <v>7.3620232677804385</v>
      </c>
      <c r="AO156" s="307">
        <f t="shared" si="56"/>
        <v>7.5297691004720679</v>
      </c>
      <c r="AP156" s="307">
        <f t="shared" si="56"/>
        <v>7.6983033385773521</v>
      </c>
      <c r="AQ156" s="307">
        <f t="shared" si="56"/>
        <v>7.8676296876017311</v>
      </c>
      <c r="AR156" s="307">
        <f t="shared" si="56"/>
        <v>8.0377518704665203</v>
      </c>
      <c r="AS156" s="307">
        <f t="shared" si="56"/>
        <v>8.2086736275907768</v>
      </c>
      <c r="AT156" s="307">
        <f t="shared" si="56"/>
        <v>8.3803987169735201</v>
      </c>
      <c r="AU156" s="307">
        <f t="shared" si="56"/>
        <v>8.552930914276363</v>
      </c>
      <c r="AV156" s="307">
        <f t="shared" si="56"/>
        <v>8.7262740129065293</v>
      </c>
      <c r="AW156" s="307">
        <f t="shared" si="56"/>
        <v>8.9004318241002522</v>
      </c>
      <c r="AX156" s="307">
        <f t="shared" si="56"/>
        <v>9.0754081770065884</v>
      </c>
      <c r="AY156" s="307">
        <f t="shared" si="56"/>
        <v>9.2512069187715849</v>
      </c>
      <c r="AZ156" s="307">
        <f t="shared" si="56"/>
        <v>9.4278319146228835</v>
      </c>
      <c r="BA156" s="307">
        <f t="shared" si="56"/>
        <v>9.6052870479546701</v>
      </c>
      <c r="BB156" s="307">
        <f t="shared" si="56"/>
        <v>9.7835762204131278</v>
      </c>
      <c r="BC156" s="307">
        <f t="shared" si="56"/>
        <v>9.9627033519821335</v>
      </c>
    </row>
    <row r="157" spans="2:58" s="309" customFormat="1" ht="16.899999999999999" customHeight="1" outlineLevel="1" x14ac:dyDescent="0.25">
      <c r="B157" s="309" t="s">
        <v>465</v>
      </c>
      <c r="C157" s="310">
        <f>C156</f>
        <v>-56.682696165362934</v>
      </c>
      <c r="D157" s="310">
        <f t="shared" ref="D157:BC157" si="57">C157+D156</f>
        <v>-156.22052629511327</v>
      </c>
      <c r="E157" s="310">
        <f t="shared" si="57"/>
        <v>-248.39800156980223</v>
      </c>
      <c r="F157" s="310">
        <f t="shared" si="57"/>
        <v>-246.29558233378322</v>
      </c>
      <c r="G157" s="310">
        <f t="shared" si="57"/>
        <v>-244.05013740402185</v>
      </c>
      <c r="H157" s="310">
        <f t="shared" si="57"/>
        <v>-241.66099455975754</v>
      </c>
      <c r="I157" s="310">
        <f t="shared" si="57"/>
        <v>-239.1274784207921</v>
      </c>
      <c r="J157" s="310">
        <f t="shared" si="57"/>
        <v>-236.44891043264047</v>
      </c>
      <c r="K157" s="310">
        <f t="shared" si="57"/>
        <v>-233.62460885161147</v>
      </c>
      <c r="L157" s="310">
        <f t="shared" si="57"/>
        <v>-230.65388872981856</v>
      </c>
      <c r="M157" s="310">
        <f t="shared" si="57"/>
        <v>-227.53606190012016</v>
      </c>
      <c r="N157" s="310">
        <f t="shared" si="57"/>
        <v>-224.27043696098912</v>
      </c>
      <c r="O157" s="310">
        <f t="shared" si="57"/>
        <v>-220.85631926131109</v>
      </c>
      <c r="P157" s="310">
        <f t="shared" si="57"/>
        <v>-217.2930108851115</v>
      </c>
      <c r="Q157" s="310">
        <f t="shared" si="57"/>
        <v>-213.57981063621071</v>
      </c>
      <c r="R157" s="310">
        <f t="shared" si="57"/>
        <v>-209.71601402280703</v>
      </c>
      <c r="S157" s="310">
        <f t="shared" si="57"/>
        <v>-205.70091324198728</v>
      </c>
      <c r="T157" s="310">
        <f t="shared" si="57"/>
        <v>-201.53379716416461</v>
      </c>
      <c r="U157" s="310">
        <f t="shared" si="57"/>
        <v>-197.2139513174431</v>
      </c>
      <c r="V157" s="310">
        <f t="shared" si="57"/>
        <v>-192.74065787190895</v>
      </c>
      <c r="W157" s="310">
        <f t="shared" si="57"/>
        <v>-188.1131956238477</v>
      </c>
      <c r="X157" s="310">
        <f t="shared" si="57"/>
        <v>-183.33083997988751</v>
      </c>
      <c r="Y157" s="310">
        <f t="shared" si="57"/>
        <v>-178.39286294106765</v>
      </c>
      <c r="Z157" s="310">
        <f t="shared" si="57"/>
        <v>-173.29853308683226</v>
      </c>
      <c r="AA157" s="310">
        <f t="shared" si="57"/>
        <v>-168.04711555894892</v>
      </c>
      <c r="AB157" s="310">
        <f t="shared" si="57"/>
        <v>-162.63787204535143</v>
      </c>
      <c r="AC157" s="310">
        <f t="shared" si="57"/>
        <v>-157.07006076390698</v>
      </c>
      <c r="AD157" s="310">
        <f t="shared" si="57"/>
        <v>-151.34293644610668</v>
      </c>
      <c r="AE157" s="310">
        <f t="shared" si="57"/>
        <v>-145.45575032067964</v>
      </c>
      <c r="AF157" s="310">
        <f t="shared" si="57"/>
        <v>-139.40775009713002</v>
      </c>
      <c r="AG157" s="310">
        <f t="shared" si="57"/>
        <v>-133.19817994919666</v>
      </c>
      <c r="AH157" s="310">
        <f t="shared" si="57"/>
        <v>-126.82628049823495</v>
      </c>
      <c r="AI157" s="310">
        <f t="shared" si="57"/>
        <v>-120.29128879652066</v>
      </c>
      <c r="AJ157" s="310">
        <f t="shared" si="57"/>
        <v>-113.59243831047525</v>
      </c>
      <c r="AK157" s="310">
        <f t="shared" si="57"/>
        <v>-106.72895890381236</v>
      </c>
      <c r="AL157" s="310">
        <f t="shared" si="57"/>
        <v>-99.700076820605076</v>
      </c>
      <c r="AM157" s="310">
        <f t="shared" si="57"/>
        <v>-92.505014668273674</v>
      </c>
      <c r="AN157" s="310">
        <f t="shared" si="57"/>
        <v>-85.14299140049323</v>
      </c>
      <c r="AO157" s="310">
        <f t="shared" si="57"/>
        <v>-77.613222300021164</v>
      </c>
      <c r="AP157" s="310">
        <f t="shared" si="57"/>
        <v>-69.914918961443817</v>
      </c>
      <c r="AQ157" s="310">
        <f t="shared" si="57"/>
        <v>-62.047289273842082</v>
      </c>
      <c r="AR157" s="310">
        <f t="shared" si="57"/>
        <v>-54.00953740337556</v>
      </c>
      <c r="AS157" s="310">
        <f t="shared" si="57"/>
        <v>-45.800863775784784</v>
      </c>
      <c r="AT157" s="310">
        <f t="shared" si="57"/>
        <v>-37.42046505881126</v>
      </c>
      <c r="AU157" s="310">
        <f t="shared" si="57"/>
        <v>-28.867534144534897</v>
      </c>
      <c r="AV157" s="310">
        <f t="shared" si="57"/>
        <v>-20.141260131628368</v>
      </c>
      <c r="AW157" s="310">
        <f t="shared" si="57"/>
        <v>-11.240828307528115</v>
      </c>
      <c r="AX157" s="310">
        <f t="shared" si="57"/>
        <v>-2.165420130521527</v>
      </c>
      <c r="AY157" s="310">
        <f t="shared" si="57"/>
        <v>7.0857867882500578</v>
      </c>
      <c r="AZ157" s="310">
        <f t="shared" si="57"/>
        <v>16.51361870287294</v>
      </c>
      <c r="BA157" s="310">
        <f t="shared" si="57"/>
        <v>26.118905750827608</v>
      </c>
      <c r="BB157" s="310">
        <f t="shared" si="57"/>
        <v>35.902481971240732</v>
      </c>
      <c r="BC157" s="310">
        <f t="shared" si="57"/>
        <v>45.865185323222867</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-51.712456804510978</v>
      </c>
      <c r="D159" s="312">
        <f t="shared" ref="D159:BC159" si="58">NPV($C$28,D156)</f>
        <v>-90.809825382739149</v>
      </c>
      <c r="E159" s="312">
        <f t="shared" si="58"/>
        <v>-84.094865469790946</v>
      </c>
      <c r="F159" s="312">
        <f t="shared" si="58"/>
        <v>1.9180679692869345</v>
      </c>
      <c r="G159" s="312">
        <f t="shared" si="58"/>
        <v>2.0485524118055101</v>
      </c>
      <c r="H159" s="312">
        <f t="shared" si="58"/>
        <v>2.179650131203914</v>
      </c>
      <c r="I159" s="312">
        <f t="shared" si="58"/>
        <v>2.3113640098834969</v>
      </c>
      <c r="J159" s="312">
        <f t="shared" si="58"/>
        <v>2.4436969437928648</v>
      </c>
      <c r="K159" s="312">
        <f t="shared" si="58"/>
        <v>2.5766518424916138</v>
      </c>
      <c r="L159" s="312">
        <f t="shared" si="58"/>
        <v>2.7102316292142485</v>
      </c>
      <c r="M159" s="312">
        <f t="shared" si="58"/>
        <v>2.8444392409344696</v>
      </c>
      <c r="N159" s="312">
        <f t="shared" si="58"/>
        <v>2.9792776284297813</v>
      </c>
      <c r="O159" s="312">
        <f t="shared" si="58"/>
        <v>3.1147497563463253</v>
      </c>
      <c r="P159" s="312">
        <f t="shared" si="58"/>
        <v>3.2508586032640676</v>
      </c>
      <c r="Q159" s="312">
        <f t="shared" si="58"/>
        <v>3.3876071617623289</v>
      </c>
      <c r="R159" s="312">
        <f t="shared" si="58"/>
        <v>3.5249984384855306</v>
      </c>
      <c r="S159" s="312">
        <f t="shared" si="58"/>
        <v>3.6630354542093304</v>
      </c>
      <c r="T159" s="312">
        <f t="shared" si="58"/>
        <v>3.8017212439070369</v>
      </c>
      <c r="U159" s="312">
        <f t="shared" si="58"/>
        <v>3.9410588568163214</v>
      </c>
      <c r="V159" s="312">
        <f t="shared" si="58"/>
        <v>4.0810513565062756</v>
      </c>
      <c r="W159" s="312">
        <f t="shared" si="58"/>
        <v>4.2217018209447739</v>
      </c>
      <c r="X159" s="312">
        <f t="shared" si="58"/>
        <v>4.3630133425661386</v>
      </c>
      <c r="Y159" s="312">
        <f t="shared" si="58"/>
        <v>4.5049890283391161</v>
      </c>
      <c r="Z159" s="312">
        <f t="shared" si="58"/>
        <v>4.6476319998352258</v>
      </c>
      <c r="AA159" s="312">
        <f t="shared" si="58"/>
        <v>4.7909453932973696</v>
      </c>
      <c r="AB159" s="312">
        <f t="shared" si="58"/>
        <v>4.9349323597087853</v>
      </c>
      <c r="AC159" s="312">
        <f t="shared" si="58"/>
        <v>5.0795960648623435</v>
      </c>
      <c r="AD159" s="312">
        <f t="shared" si="58"/>
        <v>5.2249396894301094</v>
      </c>
      <c r="AE159" s="312">
        <f t="shared" si="58"/>
        <v>5.3709664290333556</v>
      </c>
      <c r="AF159" s="312">
        <f t="shared" si="58"/>
        <v>5.5176794943127314</v>
      </c>
      <c r="AG159" s="312">
        <f t="shared" si="58"/>
        <v>5.6650821109989211</v>
      </c>
      <c r="AH159" s="312">
        <f t="shared" si="58"/>
        <v>5.8131775199835278</v>
      </c>
      <c r="AI159" s="312">
        <f t="shared" si="58"/>
        <v>5.9619689773903746</v>
      </c>
      <c r="AJ159" s="312">
        <f t="shared" si="58"/>
        <v>6.1114597546470257</v>
      </c>
      <c r="AK159" s="312">
        <f t="shared" si="58"/>
        <v>6.2616531385567837</v>
      </c>
      <c r="AL159" s="312">
        <f t="shared" si="58"/>
        <v>6.4125524313709201</v>
      </c>
      <c r="AM159" s="312">
        <f t="shared" si="58"/>
        <v>6.5641609508612788</v>
      </c>
      <c r="AN159" s="312">
        <f t="shared" si="58"/>
        <v>6.7164820303932524</v>
      </c>
      <c r="AO159" s="312">
        <f t="shared" si="58"/>
        <v>6.8695190189990161</v>
      </c>
      <c r="AP159" s="312">
        <f t="shared" si="58"/>
        <v>7.0232752814512303</v>
      </c>
      <c r="AQ159" s="312">
        <f t="shared" si="58"/>
        <v>7.177754198336971</v>
      </c>
      <c r="AR159" s="312">
        <f t="shared" si="58"/>
        <v>7.3329591661320697</v>
      </c>
      <c r="AS159" s="312">
        <f t="shared" si="58"/>
        <v>7.4888935972758075</v>
      </c>
      <c r="AT159" s="312">
        <f t="shared" si="58"/>
        <v>7.6455609202459245</v>
      </c>
      <c r="AU159" s="312">
        <f t="shared" si="58"/>
        <v>7.8029645796340015</v>
      </c>
      <c r="AV159" s="312">
        <f t="shared" si="58"/>
        <v>7.9611080362212014</v>
      </c>
      <c r="AW159" s="312">
        <f t="shared" si="58"/>
        <v>8.119994767054358</v>
      </c>
      <c r="AX159" s="312">
        <f t="shared" si="58"/>
        <v>8.2796282655224314</v>
      </c>
      <c r="AY159" s="312">
        <f t="shared" si="58"/>
        <v>8.440012041433306</v>
      </c>
      <c r="AZ159" s="312">
        <f t="shared" si="58"/>
        <v>8.6011496210909684</v>
      </c>
      <c r="BA159" s="312">
        <f t="shared" si="58"/>
        <v>8.7630445473730099</v>
      </c>
      <c r="BB159" s="312">
        <f t="shared" si="58"/>
        <v>8.9257003798085854</v>
      </c>
      <c r="BC159" s="312">
        <f t="shared" si="58"/>
        <v>9.0891206946566037</v>
      </c>
    </row>
    <row r="160" spans="2:58" s="309" customFormat="1" ht="16.899999999999999" customHeight="1" outlineLevel="1" x14ac:dyDescent="0.25">
      <c r="B160" s="313" t="s">
        <v>467</v>
      </c>
      <c r="C160" s="312">
        <f>C159</f>
        <v>-51.712456804510978</v>
      </c>
      <c r="D160" s="312">
        <f t="shared" ref="D160:BC160" si="59">C160+D159</f>
        <v>-142.52228218725014</v>
      </c>
      <c r="E160" s="312">
        <f t="shared" si="59"/>
        <v>-226.61714765704107</v>
      </c>
      <c r="F160" s="312">
        <f t="shared" si="59"/>
        <v>-224.69907968775414</v>
      </c>
      <c r="G160" s="312">
        <f t="shared" si="59"/>
        <v>-222.65052727594863</v>
      </c>
      <c r="H160" s="312">
        <f t="shared" si="59"/>
        <v>-220.47087714474472</v>
      </c>
      <c r="I160" s="312">
        <f t="shared" si="59"/>
        <v>-218.15951313486121</v>
      </c>
      <c r="J160" s="312">
        <f t="shared" si="59"/>
        <v>-215.71581619106834</v>
      </c>
      <c r="K160" s="312">
        <f t="shared" si="59"/>
        <v>-213.13916434857674</v>
      </c>
      <c r="L160" s="312">
        <f t="shared" si="59"/>
        <v>-210.42893271936251</v>
      </c>
      <c r="M160" s="312">
        <f t="shared" si="59"/>
        <v>-207.58449347842804</v>
      </c>
      <c r="N160" s="312">
        <f t="shared" si="59"/>
        <v>-204.60521584999827</v>
      </c>
      <c r="O160" s="312">
        <f t="shared" si="59"/>
        <v>-201.49046609365195</v>
      </c>
      <c r="P160" s="312">
        <f t="shared" si="59"/>
        <v>-198.23960749038787</v>
      </c>
      <c r="Q160" s="312">
        <f t="shared" si="59"/>
        <v>-194.85200032862554</v>
      </c>
      <c r="R160" s="312">
        <f t="shared" si="59"/>
        <v>-191.32700189014</v>
      </c>
      <c r="S160" s="312">
        <f t="shared" si="59"/>
        <v>-187.66396643593066</v>
      </c>
      <c r="T160" s="312">
        <f t="shared" si="59"/>
        <v>-183.86224519202364</v>
      </c>
      <c r="U160" s="312">
        <f t="shared" si="59"/>
        <v>-179.92118633520732</v>
      </c>
      <c r="V160" s="312">
        <f t="shared" si="59"/>
        <v>-175.84013497870106</v>
      </c>
      <c r="W160" s="312">
        <f t="shared" si="59"/>
        <v>-171.61843315775627</v>
      </c>
      <c r="X160" s="312">
        <f t="shared" si="59"/>
        <v>-167.25541981519012</v>
      </c>
      <c r="Y160" s="312">
        <f t="shared" si="59"/>
        <v>-162.75043078685101</v>
      </c>
      <c r="Z160" s="312">
        <f t="shared" si="59"/>
        <v>-158.10279878701579</v>
      </c>
      <c r="AA160" s="312">
        <f t="shared" si="59"/>
        <v>-153.31185339371842</v>
      </c>
      <c r="AB160" s="312">
        <f t="shared" si="59"/>
        <v>-148.37692103400963</v>
      </c>
      <c r="AC160" s="312">
        <f t="shared" si="59"/>
        <v>-143.29732496914727</v>
      </c>
      <c r="AD160" s="312">
        <f t="shared" si="59"/>
        <v>-138.07238527971717</v>
      </c>
      <c r="AE160" s="312">
        <f t="shared" si="59"/>
        <v>-132.70141885068381</v>
      </c>
      <c r="AF160" s="312">
        <f t="shared" si="59"/>
        <v>-127.18373935637108</v>
      </c>
      <c r="AG160" s="312">
        <f t="shared" si="59"/>
        <v>-121.51865724537215</v>
      </c>
      <c r="AH160" s="312">
        <f t="shared" si="59"/>
        <v>-115.70547972538863</v>
      </c>
      <c r="AI160" s="312">
        <f t="shared" si="59"/>
        <v>-109.74351074799826</v>
      </c>
      <c r="AJ160" s="312">
        <f t="shared" si="59"/>
        <v>-103.63205099335123</v>
      </c>
      <c r="AK160" s="312">
        <f t="shared" si="59"/>
        <v>-97.370397854794447</v>
      </c>
      <c r="AL160" s="312">
        <f t="shared" si="59"/>
        <v>-90.957845423423521</v>
      </c>
      <c r="AM160" s="312">
        <f t="shared" si="59"/>
        <v>-84.393684472562242</v>
      </c>
      <c r="AN160" s="312">
        <f t="shared" si="59"/>
        <v>-77.677202442168991</v>
      </c>
      <c r="AO160" s="312">
        <f t="shared" si="59"/>
        <v>-70.807683423169976</v>
      </c>
      <c r="AP160" s="312">
        <f t="shared" si="59"/>
        <v>-63.784408141718743</v>
      </c>
      <c r="AQ160" s="312">
        <f t="shared" si="59"/>
        <v>-56.606653943381772</v>
      </c>
      <c r="AR160" s="312">
        <f t="shared" si="59"/>
        <v>-49.273694777249702</v>
      </c>
      <c r="AS160" s="312">
        <f t="shared" si="59"/>
        <v>-41.784801179973897</v>
      </c>
      <c r="AT160" s="312">
        <f t="shared" si="59"/>
        <v>-34.13924025972797</v>
      </c>
      <c r="AU160" s="312">
        <f t="shared" si="59"/>
        <v>-26.336275680093969</v>
      </c>
      <c r="AV160" s="312">
        <f t="shared" si="59"/>
        <v>-18.375167643872768</v>
      </c>
      <c r="AW160" s="312">
        <f t="shared" si="59"/>
        <v>-10.25517287681841</v>
      </c>
      <c r="AX160" s="312">
        <f t="shared" si="59"/>
        <v>-1.9755446112959785</v>
      </c>
      <c r="AY160" s="312">
        <f t="shared" si="59"/>
        <v>6.4644674301373275</v>
      </c>
      <c r="AZ160" s="312">
        <f t="shared" si="59"/>
        <v>15.065617051228296</v>
      </c>
      <c r="BA160" s="312">
        <f t="shared" si="59"/>
        <v>23.828661598601308</v>
      </c>
      <c r="BB160" s="312">
        <f t="shared" si="59"/>
        <v>32.754361978409889</v>
      </c>
      <c r="BC160" s="312">
        <f t="shared" si="59"/>
        <v>41.843482673066489</v>
      </c>
    </row>
    <row r="161" spans="1:58" s="309" customFormat="1" ht="16.899999999999999" customHeight="1" outlineLevel="1" x14ac:dyDescent="0.25">
      <c r="B161" s="309" t="s">
        <v>416</v>
      </c>
      <c r="C161" s="310">
        <f t="shared" ref="C161:AH161" si="60">C156/(1+$C$28)^C32</f>
        <v>-56.682696165362934</v>
      </c>
      <c r="D161" s="310">
        <f t="shared" si="60"/>
        <v>-90.809825382739149</v>
      </c>
      <c r="E161" s="310">
        <f t="shared" si="60"/>
        <v>-76.720981750778407</v>
      </c>
      <c r="F161" s="310">
        <f t="shared" si="60"/>
        <v>1.5964427017543095</v>
      </c>
      <c r="G161" s="310">
        <f t="shared" si="60"/>
        <v>1.5555396806493667</v>
      </c>
      <c r="H161" s="310">
        <f t="shared" si="60"/>
        <v>1.5099601081646672</v>
      </c>
      <c r="I161" s="310">
        <f t="shared" si="60"/>
        <v>1.4608031741385035</v>
      </c>
      <c r="J161" s="310">
        <f t="shared" si="60"/>
        <v>1.4090142143649032</v>
      </c>
      <c r="K161" s="310">
        <f t="shared" si="60"/>
        <v>1.3554029942863202</v>
      </c>
      <c r="L161" s="310">
        <f t="shared" si="60"/>
        <v>1.300659989755093</v>
      </c>
      <c r="M161" s="310">
        <f t="shared" si="60"/>
        <v>1.2453708738270386</v>
      </c>
      <c r="N161" s="310">
        <f t="shared" si="60"/>
        <v>1.1900293974472762</v>
      </c>
      <c r="O161" s="310">
        <f t="shared" si="60"/>
        <v>1.1350488328675512</v>
      </c>
      <c r="P161" s="310">
        <f t="shared" si="60"/>
        <v>1.080772131493968</v>
      </c>
      <c r="Q161" s="310">
        <f t="shared" si="60"/>
        <v>1.0274809324212786</v>
      </c>
      <c r="R161" s="310">
        <f t="shared" si="60"/>
        <v>0.97540354399977103</v>
      </c>
      <c r="S161" s="310">
        <f t="shared" si="60"/>
        <v>0.92472200825424022</v>
      </c>
      <c r="T161" s="310">
        <f t="shared" si="60"/>
        <v>0.87557834669613621</v>
      </c>
      <c r="U161" s="310">
        <f t="shared" si="60"/>
        <v>0.82808007591821153</v>
      </c>
      <c r="V161" s="310">
        <f t="shared" si="60"/>
        <v>0.78230507222534762</v>
      </c>
      <c r="W161" s="310">
        <f t="shared" si="60"/>
        <v>0.73830585633617141</v>
      </c>
      <c r="X161" s="310">
        <f t="shared" si="60"/>
        <v>0.69611336179760996</v>
      </c>
      <c r="Y161" s="310">
        <f t="shared" si="60"/>
        <v>0.65574024410732235</v>
      </c>
      <c r="Z161" s="310">
        <f t="shared" si="60"/>
        <v>0.61718378156357512</v>
      </c>
      <c r="AA161" s="310">
        <f t="shared" si="60"/>
        <v>0.58042841349221241</v>
      </c>
      <c r="AB161" s="310">
        <f t="shared" si="60"/>
        <v>0.545447956676122</v>
      </c>
      <c r="AC161" s="310">
        <f t="shared" si="60"/>
        <v>0.51220753647982498</v>
      </c>
      <c r="AD161" s="310">
        <f t="shared" si="60"/>
        <v>0.48066526527177089</v>
      </c>
      <c r="AE161" s="310">
        <f t="shared" si="60"/>
        <v>0.45077369725556421</v>
      </c>
      <c r="AF161" s="310">
        <f t="shared" si="60"/>
        <v>0.42248108568881809</v>
      </c>
      <c r="AG161" s="310">
        <f t="shared" si="60"/>
        <v>0.39573246565894299</v>
      </c>
      <c r="AH161" s="310">
        <f t="shared" si="60"/>
        <v>0.37047058306634162</v>
      </c>
      <c r="AI161" s="310">
        <f t="shared" ref="AI161:BC161" si="61">AI156/(1+$C$28)^AI32</f>
        <v>0.34663668820823762</v>
      </c>
      <c r="AJ161" s="310">
        <f t="shared" si="61"/>
        <v>0.32417121033421487</v>
      </c>
      <c r="AK161" s="310">
        <f t="shared" si="61"/>
        <v>0.30301432773390408</v>
      </c>
      <c r="AL161" s="310">
        <f t="shared" si="61"/>
        <v>0.28310644629660636</v>
      </c>
      <c r="AM161" s="310">
        <f t="shared" si="61"/>
        <v>0.26438859803283582</v>
      </c>
      <c r="AN161" s="310">
        <f t="shared" si="61"/>
        <v>0.24680276975133683</v>
      </c>
      <c r="AO161" s="310">
        <f t="shared" si="61"/>
        <v>0.23029217092648385</v>
      </c>
      <c r="AP161" s="310">
        <f t="shared" si="61"/>
        <v>0.21480144875602022</v>
      </c>
      <c r="AQ161" s="310">
        <f t="shared" si="61"/>
        <v>0.2002768574851081</v>
      </c>
      <c r="AR161" s="310">
        <f t="shared" si="61"/>
        <v>0.18666638824827886</v>
      </c>
      <c r="AS161" s="310">
        <f t="shared" si="61"/>
        <v>0.17391986494576853</v>
      </c>
      <c r="AT161" s="310">
        <f t="shared" si="61"/>
        <v>0.16198901101566693</v>
      </c>
      <c r="AU161" s="310">
        <f t="shared" si="61"/>
        <v>0.1508274913799886</v>
      </c>
      <c r="AV161" s="310">
        <f t="shared" si="61"/>
        <v>0.14039093332369135</v>
      </c>
      <c r="AW161" s="310">
        <f t="shared" si="61"/>
        <v>0.13063692960411072</v>
      </c>
      <c r="AX161" s="310">
        <f t="shared" si="61"/>
        <v>0.12152502667819727</v>
      </c>
      <c r="AY161" s="310">
        <f t="shared" si="61"/>
        <v>0.11301670057090418</v>
      </c>
      <c r="AZ161" s="310">
        <f t="shared" si="61"/>
        <v>0.10507532258520275</v>
      </c>
      <c r="BA161" s="310">
        <f t="shared" si="61"/>
        <v>9.7666116768115138E-2</v>
      </c>
      <c r="BB161" s="310">
        <f t="shared" si="61"/>
        <v>9.0756110793921693E-2</v>
      </c>
      <c r="BC161" s="310">
        <f t="shared" si="61"/>
        <v>8.4314081701787849E-2</v>
      </c>
    </row>
    <row r="162" spans="1:58" s="309" customFormat="1" ht="16.899999999999999" customHeight="1" outlineLevel="1" x14ac:dyDescent="0.25">
      <c r="B162" s="314" t="s">
        <v>417</v>
      </c>
      <c r="C162" s="310">
        <f>C161</f>
        <v>-56.682696165362934</v>
      </c>
      <c r="D162" s="310">
        <f t="shared" ref="D162:BC162" si="62">C162+D161</f>
        <v>-147.49252154810208</v>
      </c>
      <c r="E162" s="310">
        <f t="shared" si="62"/>
        <v>-224.21350329888048</v>
      </c>
      <c r="F162" s="310">
        <f t="shared" si="62"/>
        <v>-222.61706059712617</v>
      </c>
      <c r="G162" s="310">
        <f t="shared" si="62"/>
        <v>-221.06152091647681</v>
      </c>
      <c r="H162" s="310">
        <f t="shared" si="62"/>
        <v>-219.55156080831213</v>
      </c>
      <c r="I162" s="310">
        <f t="shared" si="62"/>
        <v>-218.09075763417363</v>
      </c>
      <c r="J162" s="310">
        <f t="shared" si="62"/>
        <v>-216.68174341980873</v>
      </c>
      <c r="K162" s="310">
        <f t="shared" si="62"/>
        <v>-215.3263404255224</v>
      </c>
      <c r="L162" s="310">
        <f t="shared" si="62"/>
        <v>-214.0256804357673</v>
      </c>
      <c r="M162" s="310">
        <f t="shared" si="62"/>
        <v>-212.78030956194027</v>
      </c>
      <c r="N162" s="310">
        <f t="shared" si="62"/>
        <v>-211.59028016449298</v>
      </c>
      <c r="O162" s="310">
        <f t="shared" si="62"/>
        <v>-210.45523133162544</v>
      </c>
      <c r="P162" s="310">
        <f t="shared" si="62"/>
        <v>-209.37445920013147</v>
      </c>
      <c r="Q162" s="310">
        <f t="shared" si="62"/>
        <v>-208.3469782677102</v>
      </c>
      <c r="R162" s="310">
        <f t="shared" si="62"/>
        <v>-207.37157472371044</v>
      </c>
      <c r="S162" s="310">
        <f t="shared" si="62"/>
        <v>-206.4468527154562</v>
      </c>
      <c r="T162" s="310">
        <f t="shared" si="62"/>
        <v>-205.57127436876007</v>
      </c>
      <c r="U162" s="310">
        <f t="shared" si="62"/>
        <v>-204.74319429284185</v>
      </c>
      <c r="V162" s="310">
        <f t="shared" si="62"/>
        <v>-203.96088922061651</v>
      </c>
      <c r="W162" s="310">
        <f t="shared" si="62"/>
        <v>-203.22258336428033</v>
      </c>
      <c r="X162" s="310">
        <f t="shared" si="62"/>
        <v>-202.52647000248271</v>
      </c>
      <c r="Y162" s="310">
        <f t="shared" si="62"/>
        <v>-201.87072975837538</v>
      </c>
      <c r="Z162" s="310">
        <f t="shared" si="62"/>
        <v>-201.25354597681181</v>
      </c>
      <c r="AA162" s="310">
        <f t="shared" si="62"/>
        <v>-200.67311756331961</v>
      </c>
      <c r="AB162" s="310">
        <f t="shared" si="62"/>
        <v>-200.12766960664348</v>
      </c>
      <c r="AC162" s="310">
        <f t="shared" si="62"/>
        <v>-199.61546207016366</v>
      </c>
      <c r="AD162" s="310">
        <f t="shared" si="62"/>
        <v>-199.13479680489189</v>
      </c>
      <c r="AE162" s="310">
        <f t="shared" si="62"/>
        <v>-198.68402310763634</v>
      </c>
      <c r="AF162" s="310">
        <f t="shared" si="62"/>
        <v>-198.26154202194752</v>
      </c>
      <c r="AG162" s="310">
        <f t="shared" si="62"/>
        <v>-197.86580955628858</v>
      </c>
      <c r="AH162" s="310">
        <f t="shared" si="62"/>
        <v>-197.49533897322223</v>
      </c>
      <c r="AI162" s="310">
        <f t="shared" si="62"/>
        <v>-197.148702285014</v>
      </c>
      <c r="AJ162" s="310">
        <f t="shared" si="62"/>
        <v>-196.82453107467978</v>
      </c>
      <c r="AK162" s="310">
        <f t="shared" si="62"/>
        <v>-196.52151674694588</v>
      </c>
      <c r="AL162" s="310">
        <f t="shared" si="62"/>
        <v>-196.23841030064926</v>
      </c>
      <c r="AM162" s="310">
        <f t="shared" si="62"/>
        <v>-195.97402170261643</v>
      </c>
      <c r="AN162" s="310">
        <f t="shared" si="62"/>
        <v>-195.7272189328651</v>
      </c>
      <c r="AO162" s="310">
        <f t="shared" si="62"/>
        <v>-195.49692676193862</v>
      </c>
      <c r="AP162" s="310">
        <f t="shared" si="62"/>
        <v>-195.2821253131826</v>
      </c>
      <c r="AQ162" s="310">
        <f t="shared" si="62"/>
        <v>-195.0818484556975</v>
      </c>
      <c r="AR162" s="310">
        <f t="shared" si="62"/>
        <v>-194.89518206744921</v>
      </c>
      <c r="AS162" s="310">
        <f t="shared" si="62"/>
        <v>-194.72126220250345</v>
      </c>
      <c r="AT162" s="310">
        <f t="shared" si="62"/>
        <v>-194.55927319148779</v>
      </c>
      <c r="AU162" s="310">
        <f t="shared" si="62"/>
        <v>-194.40844570010779</v>
      </c>
      <c r="AV162" s="310">
        <f t="shared" si="62"/>
        <v>-194.2680547667841</v>
      </c>
      <c r="AW162" s="310">
        <f t="shared" si="62"/>
        <v>-194.13741783717998</v>
      </c>
      <c r="AX162" s="310">
        <f t="shared" si="62"/>
        <v>-194.01589281050178</v>
      </c>
      <c r="AY162" s="310">
        <f t="shared" si="62"/>
        <v>-193.90287610993087</v>
      </c>
      <c r="AZ162" s="310">
        <f t="shared" si="62"/>
        <v>-193.79780078734566</v>
      </c>
      <c r="BA162" s="310">
        <f t="shared" si="62"/>
        <v>-193.70013467057754</v>
      </c>
      <c r="BB162" s="310">
        <f t="shared" si="62"/>
        <v>-193.60937855978361</v>
      </c>
      <c r="BC162" s="310">
        <f t="shared" si="62"/>
        <v>-193.52506447808182</v>
      </c>
    </row>
    <row r="163" spans="1:58" s="309" customFormat="1" ht="16.899999999999999" customHeight="1" outlineLevel="1" x14ac:dyDescent="0.25">
      <c r="B163" s="314" t="s">
        <v>418</v>
      </c>
      <c r="C163" s="310">
        <f t="shared" ref="C163:AH163" si="63">C63/(1+$C$28)^C32</f>
        <v>93.431503826243699</v>
      </c>
      <c r="D163" s="310">
        <f t="shared" si="63"/>
        <v>124.53124480509217</v>
      </c>
      <c r="E163" s="310">
        <f t="shared" si="63"/>
        <v>107.66421272108029</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1</v>
      </c>
      <c r="AM164" s="315">
        <f t="shared" si="65"/>
        <v>1</v>
      </c>
      <c r="AN164" s="315">
        <f t="shared" si="65"/>
        <v>1</v>
      </c>
      <c r="AO164" s="315">
        <f t="shared" si="65"/>
        <v>1</v>
      </c>
      <c r="AP164" s="315">
        <f t="shared" si="65"/>
        <v>1</v>
      </c>
      <c r="AQ164" s="315">
        <f t="shared" si="65"/>
        <v>1</v>
      </c>
      <c r="AR164" s="315">
        <f t="shared" si="65"/>
        <v>1</v>
      </c>
      <c r="AS164" s="315">
        <f t="shared" si="65"/>
        <v>1</v>
      </c>
      <c r="AT164" s="315">
        <f t="shared" si="65"/>
        <v>1</v>
      </c>
      <c r="AU164" s="315">
        <f t="shared" si="65"/>
        <v>1</v>
      </c>
      <c r="AV164" s="315">
        <f t="shared" si="65"/>
        <v>1</v>
      </c>
      <c r="AW164" s="315">
        <f t="shared" si="65"/>
        <v>1</v>
      </c>
      <c r="AX164" s="315">
        <f t="shared" si="65"/>
        <v>1</v>
      </c>
      <c r="AY164" s="315">
        <f t="shared" si="65"/>
        <v>0.23406893279272378</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-2.6033657088647355E-2</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65.40205267837058</v>
      </c>
      <c r="D167" s="310">
        <f t="shared" ref="D167:BC167" si="66">D63*(1-$D$14)</f>
        <v>95.55022143593078</v>
      </c>
      <c r="E167" s="310">
        <f t="shared" si="66"/>
        <v>90.548251022294536</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65.40205267837058</v>
      </c>
      <c r="D168" s="310">
        <f t="shared" ref="D168:BC168" si="67">C173+D167</f>
        <v>160.95227411430136</v>
      </c>
      <c r="E168" s="310">
        <f t="shared" si="67"/>
        <v>251.50052513659591</v>
      </c>
      <c r="F168" s="310">
        <f t="shared" si="67"/>
        <v>251.50052513659591</v>
      </c>
      <c r="G168" s="310">
        <f t="shared" si="67"/>
        <v>238.92549887976611</v>
      </c>
      <c r="H168" s="310">
        <f t="shared" si="67"/>
        <v>226.35047262293631</v>
      </c>
      <c r="I168" s="310">
        <f t="shared" si="67"/>
        <v>213.77544636610651</v>
      </c>
      <c r="J168" s="310">
        <f t="shared" si="67"/>
        <v>201.20042010927671</v>
      </c>
      <c r="K168" s="310">
        <f t="shared" si="67"/>
        <v>188.6253938524469</v>
      </c>
      <c r="L168" s="310">
        <f t="shared" si="67"/>
        <v>176.0503675956171</v>
      </c>
      <c r="M168" s="310">
        <f t="shared" si="67"/>
        <v>163.4753413387873</v>
      </c>
      <c r="N168" s="310">
        <f t="shared" si="67"/>
        <v>150.9003150819575</v>
      </c>
      <c r="O168" s="310">
        <f t="shared" si="67"/>
        <v>138.3252888251277</v>
      </c>
      <c r="P168" s="310">
        <f t="shared" si="67"/>
        <v>125.7502625682979</v>
      </c>
      <c r="Q168" s="310">
        <f t="shared" si="67"/>
        <v>113.1752363114681</v>
      </c>
      <c r="R168" s="310">
        <f t="shared" si="67"/>
        <v>100.6002100546383</v>
      </c>
      <c r="S168" s="310">
        <f t="shared" si="67"/>
        <v>88.025183797808495</v>
      </c>
      <c r="T168" s="310">
        <f t="shared" si="67"/>
        <v>75.450157540978694</v>
      </c>
      <c r="U168" s="310">
        <f t="shared" si="67"/>
        <v>62.8751312841489</v>
      </c>
      <c r="V168" s="310">
        <f t="shared" si="67"/>
        <v>50.300105027319105</v>
      </c>
      <c r="W168" s="310">
        <f t="shared" si="67"/>
        <v>37.725078770489311</v>
      </c>
      <c r="X168" s="310">
        <f t="shared" si="67"/>
        <v>25.150052513659517</v>
      </c>
      <c r="Y168" s="310">
        <f t="shared" si="67"/>
        <v>12.575026256829721</v>
      </c>
      <c r="Z168" s="310">
        <f t="shared" si="67"/>
        <v>-7.460698725481052E-14</v>
      </c>
      <c r="AA168" s="310">
        <f t="shared" si="67"/>
        <v>-7.460698725481052E-14</v>
      </c>
      <c r="AB168" s="310">
        <f t="shared" si="67"/>
        <v>-7.460698725481052E-14</v>
      </c>
      <c r="AC168" s="310">
        <f t="shared" si="67"/>
        <v>-7.460698725481052E-14</v>
      </c>
      <c r="AD168" s="310">
        <f t="shared" si="67"/>
        <v>-7.460698725481052E-14</v>
      </c>
      <c r="AE168" s="310">
        <f t="shared" si="67"/>
        <v>-7.460698725481052E-14</v>
      </c>
      <c r="AF168" s="310">
        <f t="shared" si="67"/>
        <v>-7.460698725481052E-14</v>
      </c>
      <c r="AG168" s="310">
        <f t="shared" si="67"/>
        <v>-7.460698725481052E-14</v>
      </c>
      <c r="AH168" s="310">
        <f t="shared" si="67"/>
        <v>-7.460698725481052E-14</v>
      </c>
      <c r="AI168" s="310">
        <f t="shared" si="67"/>
        <v>-7.460698725481052E-14</v>
      </c>
      <c r="AJ168" s="310">
        <f t="shared" si="67"/>
        <v>-7.460698725481052E-14</v>
      </c>
      <c r="AK168" s="310">
        <f t="shared" si="67"/>
        <v>-7.460698725481052E-14</v>
      </c>
      <c r="AL168" s="310">
        <f t="shared" si="67"/>
        <v>-7.460698725481052E-14</v>
      </c>
      <c r="AM168" s="310">
        <f t="shared" si="67"/>
        <v>-7.460698725481052E-14</v>
      </c>
      <c r="AN168" s="310">
        <f t="shared" si="67"/>
        <v>-7.460698725481052E-14</v>
      </c>
      <c r="AO168" s="310">
        <f t="shared" si="67"/>
        <v>-7.460698725481052E-14</v>
      </c>
      <c r="AP168" s="310">
        <f t="shared" si="67"/>
        <v>-7.460698725481052E-14</v>
      </c>
      <c r="AQ168" s="310">
        <f t="shared" si="67"/>
        <v>-7.460698725481052E-14</v>
      </c>
      <c r="AR168" s="310">
        <f t="shared" si="67"/>
        <v>-7.460698725481052E-14</v>
      </c>
      <c r="AS168" s="310">
        <f t="shared" si="67"/>
        <v>-7.460698725481052E-14</v>
      </c>
      <c r="AT168" s="310">
        <f t="shared" si="67"/>
        <v>-7.460698725481052E-14</v>
      </c>
      <c r="AU168" s="310">
        <f t="shared" si="67"/>
        <v>-7.460698725481052E-14</v>
      </c>
      <c r="AV168" s="310">
        <f t="shared" si="67"/>
        <v>-7.460698725481052E-14</v>
      </c>
      <c r="AW168" s="310">
        <f t="shared" si="67"/>
        <v>-7.460698725481052E-14</v>
      </c>
      <c r="AX168" s="310">
        <f t="shared" si="67"/>
        <v>-7.460698725481052E-14</v>
      </c>
      <c r="AY168" s="310">
        <f t="shared" si="67"/>
        <v>-7.460698725481052E-14</v>
      </c>
      <c r="AZ168" s="310">
        <f t="shared" si="67"/>
        <v>-7.460698725481052E-14</v>
      </c>
      <c r="BA168" s="310">
        <f t="shared" si="67"/>
        <v>-7.460698725481052E-14</v>
      </c>
      <c r="BB168" s="310">
        <f t="shared" si="67"/>
        <v>-7.460698725481052E-14</v>
      </c>
      <c r="BC168" s="310">
        <f t="shared" si="67"/>
        <v>-7.460698725481052E-14</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-12.575026256829796</v>
      </c>
      <c r="G171" s="310">
        <f t="shared" si="70"/>
        <v>-12.575026256829796</v>
      </c>
      <c r="H171" s="310">
        <f t="shared" si="70"/>
        <v>-12.575026256829796</v>
      </c>
      <c r="I171" s="310">
        <f t="shared" si="70"/>
        <v>-12.575026256829796</v>
      </c>
      <c r="J171" s="310">
        <f t="shared" si="70"/>
        <v>-12.575026256829796</v>
      </c>
      <c r="K171" s="310">
        <f t="shared" si="70"/>
        <v>-12.575026256829796</v>
      </c>
      <c r="L171" s="310">
        <f t="shared" si="70"/>
        <v>-12.575026256829796</v>
      </c>
      <c r="M171" s="310">
        <f t="shared" si="70"/>
        <v>-12.575026256829796</v>
      </c>
      <c r="N171" s="310">
        <f t="shared" si="70"/>
        <v>-12.575026256829796</v>
      </c>
      <c r="O171" s="310">
        <f t="shared" si="70"/>
        <v>-12.575026256829796</v>
      </c>
      <c r="P171" s="310">
        <f t="shared" si="70"/>
        <v>-12.575026256829796</v>
      </c>
      <c r="Q171" s="310">
        <f t="shared" si="70"/>
        <v>-12.575026256829796</v>
      </c>
      <c r="R171" s="310">
        <f t="shared" si="70"/>
        <v>-12.575026256829796</v>
      </c>
      <c r="S171" s="310">
        <f t="shared" si="70"/>
        <v>-12.575026256829796</v>
      </c>
      <c r="T171" s="310">
        <f t="shared" si="70"/>
        <v>-12.575026256829796</v>
      </c>
      <c r="U171" s="310">
        <f t="shared" si="70"/>
        <v>-12.575026256829796</v>
      </c>
      <c r="V171" s="310">
        <f t="shared" si="70"/>
        <v>-12.575026256829796</v>
      </c>
      <c r="W171" s="310">
        <f t="shared" si="70"/>
        <v>-12.575026256829796</v>
      </c>
      <c r="X171" s="310">
        <f t="shared" si="70"/>
        <v>-12.575026256829796</v>
      </c>
      <c r="Y171" s="310">
        <f t="shared" si="70"/>
        <v>-12.575026256829796</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-2.8449892915091199</v>
      </c>
      <c r="E172" s="310">
        <f t="shared" si="72"/>
        <v>-7.0014239239721086</v>
      </c>
      <c r="F172" s="310">
        <f t="shared" si="72"/>
        <v>-10.940272843441921</v>
      </c>
      <c r="G172" s="310">
        <f t="shared" si="72"/>
        <v>-10.393259201269824</v>
      </c>
      <c r="H172" s="310">
        <f t="shared" si="72"/>
        <v>-9.8462455590977296</v>
      </c>
      <c r="I172" s="310">
        <f t="shared" si="72"/>
        <v>-9.299231916925633</v>
      </c>
      <c r="J172" s="310">
        <f t="shared" si="72"/>
        <v>-8.7522182747535364</v>
      </c>
      <c r="K172" s="310">
        <f t="shared" si="72"/>
        <v>-8.2052046325814398</v>
      </c>
      <c r="L172" s="310">
        <f t="shared" si="72"/>
        <v>-7.6581909904093433</v>
      </c>
      <c r="M172" s="310">
        <f t="shared" si="72"/>
        <v>-7.1111773482372476</v>
      </c>
      <c r="N172" s="310">
        <f t="shared" si="72"/>
        <v>-6.564163706065151</v>
      </c>
      <c r="O172" s="310">
        <f t="shared" si="72"/>
        <v>-6.0171500638930544</v>
      </c>
      <c r="P172" s="310">
        <f t="shared" si="72"/>
        <v>-5.4701364217209578</v>
      </c>
      <c r="Q172" s="310">
        <f t="shared" si="72"/>
        <v>-4.9231227795488621</v>
      </c>
      <c r="R172" s="310">
        <f t="shared" si="72"/>
        <v>-4.3761091373767655</v>
      </c>
      <c r="S172" s="310">
        <f t="shared" si="72"/>
        <v>-3.8290954952046694</v>
      </c>
      <c r="T172" s="310">
        <f t="shared" si="72"/>
        <v>-3.2820818530325728</v>
      </c>
      <c r="U172" s="310">
        <f t="shared" si="72"/>
        <v>-2.7350682108604771</v>
      </c>
      <c r="V172" s="310">
        <f t="shared" si="72"/>
        <v>-2.188054568688381</v>
      </c>
      <c r="W172" s="310">
        <f t="shared" si="72"/>
        <v>-1.6410409265162849</v>
      </c>
      <c r="X172" s="310">
        <f t="shared" si="72"/>
        <v>-1.0940272843441889</v>
      </c>
      <c r="Y172" s="310">
        <f t="shared" si="72"/>
        <v>-0.54701364217209281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65.40205267837058</v>
      </c>
      <c r="D173" s="310">
        <f t="shared" ref="D173:BC173" si="74">D168+D171</f>
        <v>160.95227411430136</v>
      </c>
      <c r="E173" s="310">
        <f t="shared" si="74"/>
        <v>251.50052513659591</v>
      </c>
      <c r="F173" s="310">
        <f t="shared" si="74"/>
        <v>238.92549887976611</v>
      </c>
      <c r="G173" s="310">
        <f t="shared" si="74"/>
        <v>226.35047262293631</v>
      </c>
      <c r="H173" s="310">
        <f t="shared" si="74"/>
        <v>213.77544636610651</v>
      </c>
      <c r="I173" s="310">
        <f t="shared" si="74"/>
        <v>201.20042010927671</v>
      </c>
      <c r="J173" s="310">
        <f t="shared" si="74"/>
        <v>188.6253938524469</v>
      </c>
      <c r="K173" s="310">
        <f t="shared" si="74"/>
        <v>176.0503675956171</v>
      </c>
      <c r="L173" s="310">
        <f t="shared" si="74"/>
        <v>163.4753413387873</v>
      </c>
      <c r="M173" s="310">
        <f t="shared" si="74"/>
        <v>150.9003150819575</v>
      </c>
      <c r="N173" s="310">
        <f t="shared" si="74"/>
        <v>138.3252888251277</v>
      </c>
      <c r="O173" s="310">
        <f t="shared" si="74"/>
        <v>125.7502625682979</v>
      </c>
      <c r="P173" s="310">
        <f t="shared" si="74"/>
        <v>113.1752363114681</v>
      </c>
      <c r="Q173" s="310">
        <f t="shared" si="74"/>
        <v>100.6002100546383</v>
      </c>
      <c r="R173" s="310">
        <f t="shared" si="74"/>
        <v>88.025183797808495</v>
      </c>
      <c r="S173" s="310">
        <f t="shared" si="74"/>
        <v>75.450157540978694</v>
      </c>
      <c r="T173" s="310">
        <f t="shared" si="74"/>
        <v>62.8751312841489</v>
      </c>
      <c r="U173" s="310">
        <f t="shared" si="74"/>
        <v>50.300105027319105</v>
      </c>
      <c r="V173" s="310">
        <f t="shared" si="74"/>
        <v>37.725078770489311</v>
      </c>
      <c r="W173" s="310">
        <f t="shared" si="74"/>
        <v>25.150052513659517</v>
      </c>
      <c r="X173" s="310">
        <f t="shared" si="74"/>
        <v>12.575026256829721</v>
      </c>
      <c r="Y173" s="310">
        <f t="shared" si="74"/>
        <v>-7.460698725481052E-14</v>
      </c>
      <c r="Z173" s="310">
        <f t="shared" si="74"/>
        <v>-7.460698725481052E-14</v>
      </c>
      <c r="AA173" s="310">
        <f t="shared" si="74"/>
        <v>-7.460698725481052E-14</v>
      </c>
      <c r="AB173" s="310">
        <f t="shared" si="74"/>
        <v>-7.460698725481052E-14</v>
      </c>
      <c r="AC173" s="310">
        <f t="shared" si="74"/>
        <v>-7.460698725481052E-14</v>
      </c>
      <c r="AD173" s="310">
        <f t="shared" si="74"/>
        <v>-7.460698725481052E-14</v>
      </c>
      <c r="AE173" s="310">
        <f t="shared" si="74"/>
        <v>-7.460698725481052E-14</v>
      </c>
      <c r="AF173" s="310">
        <f t="shared" si="74"/>
        <v>-7.460698725481052E-14</v>
      </c>
      <c r="AG173" s="310">
        <f t="shared" si="74"/>
        <v>-7.460698725481052E-14</v>
      </c>
      <c r="AH173" s="310">
        <f t="shared" si="74"/>
        <v>-7.460698725481052E-14</v>
      </c>
      <c r="AI173" s="310">
        <f t="shared" si="74"/>
        <v>-7.460698725481052E-14</v>
      </c>
      <c r="AJ173" s="310">
        <f t="shared" si="74"/>
        <v>-7.460698725481052E-14</v>
      </c>
      <c r="AK173" s="310">
        <f t="shared" si="74"/>
        <v>-7.460698725481052E-14</v>
      </c>
      <c r="AL173" s="310">
        <f t="shared" si="74"/>
        <v>-7.460698725481052E-14</v>
      </c>
      <c r="AM173" s="310">
        <f t="shared" si="74"/>
        <v>-7.460698725481052E-14</v>
      </c>
      <c r="AN173" s="310">
        <f t="shared" si="74"/>
        <v>-7.460698725481052E-14</v>
      </c>
      <c r="AO173" s="310">
        <f t="shared" si="74"/>
        <v>-7.460698725481052E-14</v>
      </c>
      <c r="AP173" s="310">
        <f t="shared" si="74"/>
        <v>-7.460698725481052E-14</v>
      </c>
      <c r="AQ173" s="310">
        <f t="shared" si="74"/>
        <v>-7.460698725481052E-14</v>
      </c>
      <c r="AR173" s="310">
        <f t="shared" si="74"/>
        <v>-7.460698725481052E-14</v>
      </c>
      <c r="AS173" s="310">
        <f t="shared" si="74"/>
        <v>-7.460698725481052E-14</v>
      </c>
      <c r="AT173" s="310">
        <f t="shared" si="74"/>
        <v>-7.460698725481052E-14</v>
      </c>
      <c r="AU173" s="310">
        <f t="shared" si="74"/>
        <v>-7.460698725481052E-14</v>
      </c>
      <c r="AV173" s="310">
        <f t="shared" si="74"/>
        <v>-7.460698725481052E-14</v>
      </c>
      <c r="AW173" s="310">
        <f t="shared" si="74"/>
        <v>-7.460698725481052E-14</v>
      </c>
      <c r="AX173" s="310">
        <f t="shared" si="74"/>
        <v>-7.460698725481052E-14</v>
      </c>
      <c r="AY173" s="310">
        <f t="shared" si="74"/>
        <v>-7.460698725481052E-14</v>
      </c>
      <c r="AZ173" s="310">
        <f t="shared" si="74"/>
        <v>-7.460698725481052E-14</v>
      </c>
      <c r="BA173" s="310">
        <f t="shared" si="74"/>
        <v>-7.460698725481052E-14</v>
      </c>
      <c r="BB173" s="310">
        <f t="shared" si="74"/>
        <v>-7.460698725481052E-14</v>
      </c>
      <c r="BC173" s="310">
        <f t="shared" si="74"/>
        <v>-7.460698725481052E-14</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11.927145816574477</v>
      </c>
      <c r="D175" s="310">
        <f t="shared" ref="D175:BC175" si="75">D156+D167+D171+D172-D148+D35*$H$29*(1-0.0925-$C$10)/1000000+D149</f>
        <v>-3.6097320720350821</v>
      </c>
      <c r="E175" s="310">
        <f t="shared" si="75"/>
        <v>-5.3926347932804477</v>
      </c>
      <c r="F175" s="310">
        <f t="shared" si="75"/>
        <v>-18.159647818266112</v>
      </c>
      <c r="G175" s="310">
        <f t="shared" si="75"/>
        <v>-17.454318291735518</v>
      </c>
      <c r="H175" s="310">
        <f t="shared" si="75"/>
        <v>-16.748244680548453</v>
      </c>
      <c r="I175" s="310">
        <f t="shared" si="75"/>
        <v>-16.041423487507014</v>
      </c>
      <c r="J175" s="310">
        <f t="shared" si="75"/>
        <v>-15.333851198976475</v>
      </c>
      <c r="K175" s="310">
        <f t="shared" si="75"/>
        <v>-14.62552428480806</v>
      </c>
      <c r="L175" s="310">
        <f t="shared" si="75"/>
        <v>-13.916439198261276</v>
      </c>
      <c r="M175" s="310">
        <f t="shared" si="75"/>
        <v>-13.206592375925904</v>
      </c>
      <c r="N175" s="310">
        <f t="shared" si="75"/>
        <v>-12.495980237643781</v>
      </c>
      <c r="O175" s="310">
        <f t="shared" si="75"/>
        <v>-11.784599186429951</v>
      </c>
      <c r="P175" s="310">
        <f t="shared" si="75"/>
        <v>-11.072445608393602</v>
      </c>
      <c r="Q175" s="310">
        <f t="shared" si="75"/>
        <v>-10.359515872658697</v>
      </c>
      <c r="R175" s="310">
        <f t="shared" si="75"/>
        <v>-9.645806331284053</v>
      </c>
      <c r="S175" s="310">
        <f t="shared" si="75"/>
        <v>-8.9313133191831557</v>
      </c>
      <c r="T175" s="310">
        <f t="shared" si="75"/>
        <v>-8.2160331540435863</v>
      </c>
      <c r="U175" s="310">
        <f t="shared" si="75"/>
        <v>-7.4999621362460864</v>
      </c>
      <c r="V175" s="310">
        <f t="shared" si="75"/>
        <v>-6.7830965487831314</v>
      </c>
      <c r="W175" s="310">
        <f t="shared" si="75"/>
        <v>-6.0654326571773183</v>
      </c>
      <c r="X175" s="310">
        <f t="shared" si="75"/>
        <v>-5.3469667093991626</v>
      </c>
      <c r="Y175" s="310">
        <f t="shared" si="75"/>
        <v>-4.6276949357846604</v>
      </c>
      <c r="Z175" s="310">
        <f t="shared" si="75"/>
        <v>8.6674127078774124</v>
      </c>
      <c r="AA175" s="310">
        <f t="shared" si="75"/>
        <v>8.841293870937502</v>
      </c>
      <c r="AB175" s="310">
        <f t="shared" si="75"/>
        <v>9.0159922754639723</v>
      </c>
      <c r="AC175" s="310">
        <f t="shared" si="75"/>
        <v>9.1915117624917198</v>
      </c>
      <c r="AD175" s="310">
        <f t="shared" si="75"/>
        <v>9.3678561911084959</v>
      </c>
      <c r="AE175" s="310">
        <f t="shared" si="75"/>
        <v>9.5450294385397747</v>
      </c>
      <c r="AF175" s="310">
        <f t="shared" si="75"/>
        <v>9.7230354002339752</v>
      </c>
      <c r="AG175" s="310">
        <f t="shared" si="75"/>
        <v>9.9018779899481402</v>
      </c>
      <c r="AH175" s="310">
        <f t="shared" si="75"/>
        <v>10.081561139833957</v>
      </c>
      <c r="AI175" s="310">
        <f t="shared" si="75"/>
        <v>10.262088800524246</v>
      </c>
      <c r="AJ175" s="310">
        <f t="shared" si="75"/>
        <v>10.443464941219773</v>
      </c>
      <c r="AK175" s="310">
        <f t="shared" si="75"/>
        <v>10.625693549776573</v>
      </c>
      <c r="AL175" s="310">
        <f t="shared" si="75"/>
        <v>10.808778632793585</v>
      </c>
      <c r="AM175" s="310">
        <f t="shared" si="75"/>
        <v>10.992724215700784</v>
      </c>
      <c r="AN175" s="310">
        <f t="shared" si="75"/>
        <v>11.177534342847636</v>
      </c>
      <c r="AO175" s="310">
        <f t="shared" si="75"/>
        <v>11.363213077592087</v>
      </c>
      <c r="AP175" s="310">
        <f t="shared" si="75"/>
        <v>11.549764502389831</v>
      </c>
      <c r="AQ175" s="310">
        <f t="shared" si="75"/>
        <v>11.737192718884122</v>
      </c>
      <c r="AR175" s="310">
        <f t="shared" si="75"/>
        <v>11.925501847995951</v>
      </c>
      <c r="AS175" s="310">
        <f t="shared" si="75"/>
        <v>12.114696030014603</v>
      </c>
      <c r="AT175" s="310">
        <f t="shared" si="75"/>
        <v>12.304779424688739</v>
      </c>
      <c r="AU175" s="310">
        <f t="shared" si="75"/>
        <v>12.495756211317827</v>
      </c>
      <c r="AV175" s="310">
        <f t="shared" si="75"/>
        <v>12.687630588844085</v>
      </c>
      <c r="AW175" s="310">
        <f t="shared" si="75"/>
        <v>12.880406775944717</v>
      </c>
      <c r="AX175" s="310">
        <f t="shared" si="75"/>
        <v>13.074089011124727</v>
      </c>
      <c r="AY175" s="310">
        <f t="shared" si="75"/>
        <v>13.268681552810078</v>
      </c>
      <c r="AZ175" s="310">
        <f t="shared" si="75"/>
        <v>13.464188679441348</v>
      </c>
      <c r="BA175" s="310">
        <f t="shared" si="75"/>
        <v>13.660614689567783</v>
      </c>
      <c r="BB175" s="310">
        <f t="shared" si="75"/>
        <v>13.857963901941822</v>
      </c>
      <c r="BC175" s="310">
        <f t="shared" si="75"/>
        <v>14.05624065561401</v>
      </c>
    </row>
    <row r="176" spans="1:58" s="309" customFormat="1" ht="16.899999999999999" customHeight="1" outlineLevel="1" x14ac:dyDescent="0.25">
      <c r="B176" s="309" t="s">
        <v>471</v>
      </c>
      <c r="C176" s="310">
        <f>C175</f>
        <v>11.927145816574477</v>
      </c>
      <c r="D176" s="310">
        <f t="shared" ref="D176:BC176" si="76">C176+D175</f>
        <v>8.3174137445393939</v>
      </c>
      <c r="E176" s="310">
        <f t="shared" si="76"/>
        <v>2.9247789512589462</v>
      </c>
      <c r="F176" s="310">
        <f t="shared" si="76"/>
        <v>-15.234868867007165</v>
      </c>
      <c r="G176" s="310">
        <f t="shared" si="76"/>
        <v>-32.689187158742683</v>
      </c>
      <c r="H176" s="310">
        <f t="shared" si="76"/>
        <v>-49.437431839291136</v>
      </c>
      <c r="I176" s="310">
        <f t="shared" si="76"/>
        <v>-65.478855326798154</v>
      </c>
      <c r="J176" s="310">
        <f t="shared" si="76"/>
        <v>-80.81270652577463</v>
      </c>
      <c r="K176" s="310">
        <f t="shared" si="76"/>
        <v>-95.438230810582695</v>
      </c>
      <c r="L176" s="310">
        <f t="shared" si="76"/>
        <v>-109.35467000884397</v>
      </c>
      <c r="M176" s="310">
        <f t="shared" si="76"/>
        <v>-122.56126238476988</v>
      </c>
      <c r="N176" s="310">
        <f t="shared" si="76"/>
        <v>-135.05724262241367</v>
      </c>
      <c r="O176" s="310">
        <f t="shared" si="76"/>
        <v>-146.84184180884361</v>
      </c>
      <c r="P176" s="310">
        <f t="shared" si="76"/>
        <v>-157.9142874172372</v>
      </c>
      <c r="Q176" s="310">
        <f t="shared" si="76"/>
        <v>-168.27380328989591</v>
      </c>
      <c r="R176" s="310">
        <f t="shared" si="76"/>
        <v>-177.91960962117997</v>
      </c>
      <c r="S176" s="310">
        <f t="shared" si="76"/>
        <v>-186.85092294036312</v>
      </c>
      <c r="T176" s="310">
        <f t="shared" si="76"/>
        <v>-195.06695609440669</v>
      </c>
      <c r="U176" s="310">
        <f t="shared" si="76"/>
        <v>-202.56691823065279</v>
      </c>
      <c r="V176" s="310">
        <f t="shared" si="76"/>
        <v>-209.35001477943592</v>
      </c>
      <c r="W176" s="310">
        <f t="shared" si="76"/>
        <v>-215.41544743661325</v>
      </c>
      <c r="X176" s="310">
        <f t="shared" si="76"/>
        <v>-220.76241414601242</v>
      </c>
      <c r="Y176" s="310">
        <f t="shared" si="76"/>
        <v>-225.39010908179708</v>
      </c>
      <c r="Z176" s="310">
        <f t="shared" si="76"/>
        <v>-216.72269637391966</v>
      </c>
      <c r="AA176" s="310">
        <f t="shared" si="76"/>
        <v>-207.88140250298216</v>
      </c>
      <c r="AB176" s="310">
        <f t="shared" si="76"/>
        <v>-198.86541022751817</v>
      </c>
      <c r="AC176" s="310">
        <f t="shared" si="76"/>
        <v>-189.67389846502644</v>
      </c>
      <c r="AD176" s="310">
        <f t="shared" si="76"/>
        <v>-180.30604227391794</v>
      </c>
      <c r="AE176" s="310">
        <f t="shared" si="76"/>
        <v>-170.76101283537815</v>
      </c>
      <c r="AF176" s="310">
        <f t="shared" si="76"/>
        <v>-161.03797743514417</v>
      </c>
      <c r="AG176" s="310">
        <f t="shared" si="76"/>
        <v>-151.13609944519604</v>
      </c>
      <c r="AH176" s="310">
        <f t="shared" si="76"/>
        <v>-141.05453830536209</v>
      </c>
      <c r="AI176" s="310">
        <f t="shared" si="76"/>
        <v>-130.79244950483783</v>
      </c>
      <c r="AJ176" s="310">
        <f t="shared" si="76"/>
        <v>-120.34898456361806</v>
      </c>
      <c r="AK176" s="310">
        <f t="shared" si="76"/>
        <v>-109.72329101384149</v>
      </c>
      <c r="AL176" s="310">
        <f t="shared" si="76"/>
        <v>-98.914512381047899</v>
      </c>
      <c r="AM176" s="310">
        <f t="shared" si="76"/>
        <v>-87.92178816534711</v>
      </c>
      <c r="AN176" s="310">
        <f t="shared" si="76"/>
        <v>-76.744253822499473</v>
      </c>
      <c r="AO176" s="310">
        <f t="shared" si="76"/>
        <v>-65.381040744907381</v>
      </c>
      <c r="AP176" s="310">
        <f t="shared" si="76"/>
        <v>-53.831276242517546</v>
      </c>
      <c r="AQ176" s="310">
        <f t="shared" si="76"/>
        <v>-42.094083523633422</v>
      </c>
      <c r="AR176" s="310">
        <f t="shared" si="76"/>
        <v>-30.168581675637469</v>
      </c>
      <c r="AS176" s="310">
        <f t="shared" si="76"/>
        <v>-18.053885645622866</v>
      </c>
      <c r="AT176" s="310">
        <f t="shared" si="76"/>
        <v>-5.7491062209341273</v>
      </c>
      <c r="AU176" s="310">
        <f t="shared" si="76"/>
        <v>6.7466499903837001</v>
      </c>
      <c r="AV176" s="310">
        <f t="shared" si="76"/>
        <v>19.434280579227785</v>
      </c>
      <c r="AW176" s="310">
        <f t="shared" si="76"/>
        <v>32.314687355172502</v>
      </c>
      <c r="AX176" s="310">
        <f t="shared" si="76"/>
        <v>45.388776366297229</v>
      </c>
      <c r="AY176" s="310">
        <f t="shared" si="76"/>
        <v>58.657457919107308</v>
      </c>
      <c r="AZ176" s="310">
        <f t="shared" si="76"/>
        <v>72.121646598548651</v>
      </c>
      <c r="BA176" s="310">
        <f t="shared" si="76"/>
        <v>85.78226128811643</v>
      </c>
      <c r="BB176" s="310">
        <f t="shared" si="76"/>
        <v>99.64022519005826</v>
      </c>
      <c r="BC176" s="310">
        <f t="shared" si="76"/>
        <v>113.69646584567226</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11.277590440001701</v>
      </c>
      <c r="D178" s="312">
        <f t="shared" ref="D178:BC178" si="77">NPV($D$28,D175)</f>
        <v>-3.4131451507853012</v>
      </c>
      <c r="E178" s="312">
        <f t="shared" si="77"/>
        <v>-5.0989505390809997</v>
      </c>
      <c r="F178" s="312">
        <f t="shared" si="77"/>
        <v>-17.170668806989916</v>
      </c>
      <c r="G178" s="312">
        <f t="shared" si="77"/>
        <v>-16.503751704794471</v>
      </c>
      <c r="H178" s="312">
        <f t="shared" si="77"/>
        <v>-15.836131040981067</v>
      </c>
      <c r="I178" s="312">
        <f t="shared" si="77"/>
        <v>-15.167803508810081</v>
      </c>
      <c r="J178" s="312">
        <f t="shared" si="77"/>
        <v>-14.498765786000222</v>
      </c>
      <c r="K178" s="312">
        <f t="shared" si="77"/>
        <v>-13.829014534655508</v>
      </c>
      <c r="L178" s="312">
        <f t="shared" si="77"/>
        <v>-13.158546401191831</v>
      </c>
      <c r="M178" s="312">
        <f t="shared" si="77"/>
        <v>-12.487358016263194</v>
      </c>
      <c r="N178" s="312">
        <f t="shared" si="77"/>
        <v>-11.815445994687753</v>
      </c>
      <c r="O178" s="312">
        <f t="shared" si="77"/>
        <v>-11.142806935373258</v>
      </c>
      <c r="P178" s="312">
        <f t="shared" si="77"/>
        <v>-10.46943742124231</v>
      </c>
      <c r="Q178" s="312">
        <f t="shared" si="77"/>
        <v>-9.7953340191572948</v>
      </c>
      <c r="R178" s="312">
        <f t="shared" si="77"/>
        <v>-9.1204932798448315</v>
      </c>
      <c r="S178" s="312">
        <f t="shared" si="77"/>
        <v>-8.4449117378199414</v>
      </c>
      <c r="T178" s="312">
        <f t="shared" si="77"/>
        <v>-7.7685859113098727</v>
      </c>
      <c r="U178" s="312">
        <f t="shared" si="77"/>
        <v>-7.0915123021775655</v>
      </c>
      <c r="V178" s="312">
        <f t="shared" si="77"/>
        <v>-6.4136873958446667</v>
      </c>
      <c r="W178" s="312">
        <f t="shared" si="77"/>
        <v>-5.7351076612143554</v>
      </c>
      <c r="X178" s="312">
        <f t="shared" si="77"/>
        <v>-5.055769550593622</v>
      </c>
      <c r="Y178" s="312">
        <f t="shared" si="77"/>
        <v>-4.3756694996153174</v>
      </c>
      <c r="Z178" s="312">
        <f t="shared" si="77"/>
        <v>8.1953832205248442</v>
      </c>
      <c r="AA178" s="312">
        <f t="shared" si="77"/>
        <v>8.3597947714843208</v>
      </c>
      <c r="AB178" s="312">
        <f t="shared" si="77"/>
        <v>8.5249790567333044</v>
      </c>
      <c r="AC178" s="312">
        <f t="shared" si="77"/>
        <v>8.6909397081229631</v>
      </c>
      <c r="AD178" s="312">
        <f t="shared" si="77"/>
        <v>8.8576803745741497</v>
      </c>
      <c r="AE178" s="312">
        <f t="shared" si="77"/>
        <v>9.0252047221576603</v>
      </c>
      <c r="AF178" s="312">
        <f t="shared" si="77"/>
        <v>9.1935164341748088</v>
      </c>
      <c r="AG178" s="312">
        <f t="shared" si="77"/>
        <v>9.3626192112384405</v>
      </c>
      <c r="AH178" s="312">
        <f t="shared" si="77"/>
        <v>9.5325167713542651</v>
      </c>
      <c r="AI178" s="312">
        <f t="shared" si="77"/>
        <v>9.7032128500026449</v>
      </c>
      <c r="AJ178" s="312">
        <f t="shared" si="77"/>
        <v>9.8747112002206645</v>
      </c>
      <c r="AK178" s="312">
        <f t="shared" si="77"/>
        <v>10.047015592684712</v>
      </c>
      <c r="AL178" s="312">
        <f t="shared" si="77"/>
        <v>10.220129815793337</v>
      </c>
      <c r="AM178" s="312">
        <f t="shared" si="77"/>
        <v>10.394057675750579</v>
      </c>
      <c r="AN178" s="312">
        <f t="shared" si="77"/>
        <v>10.568802996649609</v>
      </c>
      <c r="AO178" s="312">
        <f t="shared" si="77"/>
        <v>10.744369620556874</v>
      </c>
      <c r="AP178" s="312">
        <f t="shared" si="77"/>
        <v>10.920761407596496</v>
      </c>
      <c r="AQ178" s="312">
        <f t="shared" si="77"/>
        <v>11.097982236035204</v>
      </c>
      <c r="AR178" s="312">
        <f t="shared" si="77"/>
        <v>11.276036002367587</v>
      </c>
      <c r="AS178" s="312">
        <f t="shared" si="77"/>
        <v>11.454926621401729</v>
      </c>
      <c r="AT178" s="312">
        <f t="shared" si="77"/>
        <v>11.634658026345328</v>
      </c>
      <c r="AU178" s="312">
        <f t="shared" si="77"/>
        <v>11.815234168892147</v>
      </c>
      <c r="AV178" s="312">
        <f t="shared" si="77"/>
        <v>11.996659019308948</v>
      </c>
      <c r="AW178" s="312">
        <f t="shared" si="77"/>
        <v>12.17893656652271</v>
      </c>
      <c r="AX178" s="312">
        <f t="shared" si="77"/>
        <v>12.36207081820838</v>
      </c>
      <c r="AY178" s="312">
        <f t="shared" si="77"/>
        <v>12.546065800876969</v>
      </c>
      <c r="AZ178" s="312">
        <f t="shared" si="77"/>
        <v>12.730925559964097</v>
      </c>
      <c r="BA178" s="312">
        <f t="shared" si="77"/>
        <v>12.916654159918934</v>
      </c>
      <c r="BB178" s="312">
        <f t="shared" si="77"/>
        <v>13.103255684293567</v>
      </c>
      <c r="BC178" s="312">
        <f t="shared" si="77"/>
        <v>13.290734235832753</v>
      </c>
    </row>
    <row r="179" spans="2:55" s="309" customFormat="1" ht="16.899999999999999" customHeight="1" outlineLevel="1" x14ac:dyDescent="0.25">
      <c r="B179" s="313" t="s">
        <v>469</v>
      </c>
      <c r="C179" s="312">
        <f>C178</f>
        <v>11.277590440001701</v>
      </c>
      <c r="D179" s="312">
        <f t="shared" ref="D179" si="78">C179+D178</f>
        <v>7.8644452892164001</v>
      </c>
      <c r="E179" s="312">
        <f t="shared" ref="E179" si="79">D179+E178</f>
        <v>2.7654947501354004</v>
      </c>
      <c r="F179" s="312">
        <f t="shared" ref="F179" si="80">E179+F178</f>
        <v>-14.405174056854516</v>
      </c>
      <c r="G179" s="312">
        <f t="shared" ref="G179" si="81">F179+G178</f>
        <v>-30.908925761648987</v>
      </c>
      <c r="H179" s="312">
        <f t="shared" ref="H179" si="82">G179+H178</f>
        <v>-46.745056802630053</v>
      </c>
      <c r="I179" s="312">
        <f t="shared" ref="I179" si="83">H179+I178</f>
        <v>-61.912860311440134</v>
      </c>
      <c r="J179" s="312">
        <f t="shared" ref="J179" si="84">I179+J178</f>
        <v>-76.411626097440362</v>
      </c>
      <c r="K179" s="312">
        <f t="shared" ref="K179" si="85">J179+K178</f>
        <v>-90.240640632095875</v>
      </c>
      <c r="L179" s="312">
        <f t="shared" ref="L179" si="86">K179+L178</f>
        <v>-103.3991870332877</v>
      </c>
      <c r="M179" s="312">
        <f t="shared" ref="M179" si="87">L179+M178</f>
        <v>-115.8865450495509</v>
      </c>
      <c r="N179" s="312">
        <f t="shared" ref="N179" si="88">M179+N178</f>
        <v>-127.70199104423865</v>
      </c>
      <c r="O179" s="312">
        <f t="shared" ref="O179" si="89">N179+O178</f>
        <v>-138.84479797961191</v>
      </c>
      <c r="P179" s="312">
        <f t="shared" ref="P179" si="90">O179+P178</f>
        <v>-149.31423540085422</v>
      </c>
      <c r="Q179" s="312">
        <f t="shared" ref="Q179" si="91">P179+Q178</f>
        <v>-159.1095694200115</v>
      </c>
      <c r="R179" s="312">
        <f t="shared" ref="R179" si="92">Q179+R178</f>
        <v>-168.23006269985632</v>
      </c>
      <c r="S179" s="312">
        <f t="shared" ref="S179" si="93">R179+S178</f>
        <v>-176.67497443767627</v>
      </c>
      <c r="T179" s="312">
        <f t="shared" ref="T179" si="94">S179+T178</f>
        <v>-184.44356034898615</v>
      </c>
      <c r="U179" s="312">
        <f t="shared" ref="U179" si="95">T179+U178</f>
        <v>-191.53507265116372</v>
      </c>
      <c r="V179" s="312">
        <f t="shared" ref="V179" si="96">U179+V178</f>
        <v>-197.94876004700839</v>
      </c>
      <c r="W179" s="312">
        <f t="shared" ref="W179" si="97">V179+W178</f>
        <v>-203.68386770822275</v>
      </c>
      <c r="X179" s="312">
        <f t="shared" ref="X179" si="98">W179+X178</f>
        <v>-208.73963725881637</v>
      </c>
      <c r="Y179" s="312">
        <f t="shared" ref="Y179" si="99">X179+Y178</f>
        <v>-213.1153067584317</v>
      </c>
      <c r="Z179" s="312">
        <f t="shared" ref="Z179" si="100">Y179+Z178</f>
        <v>-204.91992353790687</v>
      </c>
      <c r="AA179" s="312">
        <f t="shared" ref="AA179" si="101">Z179+AA178</f>
        <v>-196.56012876642254</v>
      </c>
      <c r="AB179" s="312">
        <f t="shared" ref="AB179" si="102">AA179+AB178</f>
        <v>-188.03514970968922</v>
      </c>
      <c r="AC179" s="312">
        <f t="shared" ref="AC179" si="103">AB179+AC178</f>
        <v>-179.34421000156627</v>
      </c>
      <c r="AD179" s="312">
        <f t="shared" ref="AD179" si="104">AC179+AD178</f>
        <v>-170.48652962699211</v>
      </c>
      <c r="AE179" s="312">
        <f t="shared" ref="AE179" si="105">AD179+AE178</f>
        <v>-161.46132490483444</v>
      </c>
      <c r="AF179" s="312">
        <f t="shared" ref="AF179" si="106">AE179+AF178</f>
        <v>-152.26780847065965</v>
      </c>
      <c r="AG179" s="312">
        <f t="shared" ref="AG179" si="107">AF179+AG178</f>
        <v>-142.90518925942121</v>
      </c>
      <c r="AH179" s="312">
        <f t="shared" ref="AH179" si="108">AG179+AH178</f>
        <v>-133.37267248806694</v>
      </c>
      <c r="AI179" s="312">
        <f t="shared" ref="AI179" si="109">AH179+AI178</f>
        <v>-123.6694596380643</v>
      </c>
      <c r="AJ179" s="312">
        <f t="shared" ref="AJ179" si="110">AI179+AJ178</f>
        <v>-113.79474843784364</v>
      </c>
      <c r="AK179" s="312">
        <f t="shared" ref="AK179" si="111">AJ179+AK178</f>
        <v>-103.74773284515892</v>
      </c>
      <c r="AL179" s="312">
        <f t="shared" ref="AL179" si="112">AK179+AL178</f>
        <v>-93.527603029365579</v>
      </c>
      <c r="AM179" s="312">
        <f t="shared" ref="AM179" si="113">AL179+AM178</f>
        <v>-83.133545353615006</v>
      </c>
      <c r="AN179" s="312">
        <f t="shared" ref="AN179" si="114">AM179+AN178</f>
        <v>-72.564742356965397</v>
      </c>
      <c r="AO179" s="312">
        <f t="shared" ref="AO179" si="115">AN179+AO178</f>
        <v>-61.820372736408522</v>
      </c>
      <c r="AP179" s="312">
        <f t="shared" ref="AP179" si="116">AO179+AP178</f>
        <v>-50.899611328812028</v>
      </c>
      <c r="AQ179" s="312">
        <f t="shared" ref="AQ179" si="117">AP179+AQ178</f>
        <v>-39.801629092776821</v>
      </c>
      <c r="AR179" s="312">
        <f t="shared" ref="AR179" si="118">AQ179+AR178</f>
        <v>-28.525593090409235</v>
      </c>
      <c r="AS179" s="312">
        <f t="shared" ref="AS179" si="119">AR179+AS178</f>
        <v>-17.070666469007506</v>
      </c>
      <c r="AT179" s="312">
        <f t="shared" ref="AT179" si="120">AS179+AT178</f>
        <v>-5.4360084426621782</v>
      </c>
      <c r="AU179" s="312">
        <f t="shared" ref="AU179" si="121">AT179+AU178</f>
        <v>6.3792257262299685</v>
      </c>
      <c r="AV179" s="312">
        <f t="shared" ref="AV179" si="122">AU179+AV178</f>
        <v>18.375884745538919</v>
      </c>
      <c r="AW179" s="312">
        <f t="shared" ref="AW179" si="123">AV179+AW178</f>
        <v>30.554821312061627</v>
      </c>
      <c r="AX179" s="312">
        <f t="shared" ref="AX179" si="124">AW179+AX178</f>
        <v>42.916892130270007</v>
      </c>
      <c r="AY179" s="312">
        <f t="shared" ref="AY179" si="125">AX179+AY178</f>
        <v>55.462957931146974</v>
      </c>
      <c r="AZ179" s="312">
        <f t="shared" ref="AZ179" si="126">AY179+AZ178</f>
        <v>68.193883491111066</v>
      </c>
      <c r="BA179" s="312">
        <f t="shared" ref="BA179" si="127">AZ179+BA178</f>
        <v>81.11053765103</v>
      </c>
      <c r="BB179" s="312">
        <f t="shared" ref="BB179" si="128">BA179+BB178</f>
        <v>94.213793335323572</v>
      </c>
      <c r="BC179" s="312">
        <f t="shared" ref="BC179" si="129">BB179+BC178</f>
        <v>107.50452757115633</v>
      </c>
    </row>
    <row r="180" spans="2:55" s="206" customFormat="1" ht="16.899999999999999" customHeight="1" outlineLevel="1" x14ac:dyDescent="0.25">
      <c r="B180" s="206" t="s">
        <v>416</v>
      </c>
      <c r="C180" s="307">
        <f>C175/(1+$D$28)^C32</f>
        <v>11.927145816574477</v>
      </c>
      <c r="D180" s="307">
        <f t="shared" ref="D180:BC180" si="130">D175/(1+$D$28)^D32</f>
        <v>-3.4131451507853012</v>
      </c>
      <c r="E180" s="307">
        <f t="shared" si="130"/>
        <v>-4.8212604036140423</v>
      </c>
      <c r="F180" s="307">
        <f t="shared" si="130"/>
        <v>-15.351357693620473</v>
      </c>
      <c r="G180" s="307">
        <f t="shared" si="130"/>
        <v>-13.951536849308182</v>
      </c>
      <c r="H180" s="307">
        <f t="shared" si="130"/>
        <v>-12.658091944692741</v>
      </c>
      <c r="I180" s="307">
        <f t="shared" si="130"/>
        <v>-11.463616341629892</v>
      </c>
      <c r="J180" s="307">
        <f t="shared" si="130"/>
        <v>-10.361193227477521</v>
      </c>
      <c r="K180" s="307">
        <f t="shared" si="130"/>
        <v>-9.3443643009086337</v>
      </c>
      <c r="L180" s="307">
        <f t="shared" si="130"/>
        <v>-8.407100412179199</v>
      </c>
      <c r="M180" s="307">
        <f t="shared" si="130"/>
        <v>-7.5437740380220299</v>
      </c>
      <c r="N180" s="307">
        <f t="shared" si="130"/>
        <v>-6.7491334785842358</v>
      </c>
      <c r="O180" s="307">
        <f t="shared" si="130"/>
        <v>-6.0182786706382183</v>
      </c>
      <c r="P180" s="307">
        <f t="shared" si="130"/>
        <v>-5.3466385177018436</v>
      </c>
      <c r="Q180" s="307">
        <f t="shared" si="130"/>
        <v>-4.7299496437246242</v>
      </c>
      <c r="R180" s="307">
        <f t="shared" si="130"/>
        <v>-4.1642364826575093</v>
      </c>
      <c r="S180" s="307">
        <f t="shared" si="130"/>
        <v>-3.6457926215455161</v>
      </c>
      <c r="T180" s="307">
        <f t="shared" si="130"/>
        <v>-3.1711633197844558</v>
      </c>
      <c r="U180" s="307">
        <f t="shared" si="130"/>
        <v>-2.737129131885002</v>
      </c>
      <c r="V180" s="307">
        <f t="shared" si="130"/>
        <v>-2.340690565506887</v>
      </c>
      <c r="W180" s="307">
        <f t="shared" si="130"/>
        <v>-1.9790537106801107</v>
      </c>
      <c r="X180" s="307">
        <f t="shared" si="130"/>
        <v>-1.6496167800339847</v>
      </c>
      <c r="Y180" s="307">
        <f t="shared" si="130"/>
        <v>-1.3499575035243563</v>
      </c>
      <c r="Z180" s="307">
        <f t="shared" si="130"/>
        <v>2.3906975775898318</v>
      </c>
      <c r="AA180" s="307">
        <f t="shared" si="130"/>
        <v>2.3058485597635823</v>
      </c>
      <c r="AB180" s="307">
        <f t="shared" si="130"/>
        <v>2.2233522566871531</v>
      </c>
      <c r="AC180" s="307">
        <f t="shared" si="130"/>
        <v>2.1431939849119708</v>
      </c>
      <c r="AD180" s="307">
        <f t="shared" si="130"/>
        <v>2.0653541865145639</v>
      </c>
      <c r="AE180" s="307">
        <f t="shared" si="130"/>
        <v>1.9898089783606765</v>
      </c>
      <c r="AF180" s="307">
        <f t="shared" si="130"/>
        <v>1.9165306572617584</v>
      </c>
      <c r="AG180" s="307">
        <f t="shared" si="130"/>
        <v>1.8454881641359213</v>
      </c>
      <c r="AH180" s="307">
        <f t="shared" si="130"/>
        <v>1.7766475100804187</v>
      </c>
      <c r="AI180" s="307">
        <f t="shared" si="130"/>
        <v>1.7099721670706896</v>
      </c>
      <c r="AJ180" s="307">
        <f t="shared" si="130"/>
        <v>1.64542342582106</v>
      </c>
      <c r="AK180" s="307">
        <f t="shared" si="130"/>
        <v>1.5829607231737433</v>
      </c>
      <c r="AL180" s="307">
        <f t="shared" si="130"/>
        <v>1.5225419412249035</v>
      </c>
      <c r="AM180" s="307">
        <f t="shared" si="130"/>
        <v>1.4641236802488515</v>
      </c>
      <c r="AN180" s="307">
        <f t="shared" si="130"/>
        <v>1.4076615073430412</v>
      </c>
      <c r="AO180" s="307">
        <f t="shared" si="130"/>
        <v>1.353110182587075</v>
      </c>
      <c r="AP180" s="307">
        <f t="shared" si="130"/>
        <v>1.3004238643876675</v>
      </c>
      <c r="AQ180" s="307">
        <f t="shared" si="130"/>
        <v>1.249556295568135</v>
      </c>
      <c r="AR180" s="307">
        <f t="shared" si="130"/>
        <v>1.2004609716548074</v>
      </c>
      <c r="AS180" s="307">
        <f t="shared" si="130"/>
        <v>1.1530912927134627</v>
      </c>
      <c r="AT180" s="307">
        <f t="shared" si="130"/>
        <v>1.1074006999960551</v>
      </c>
      <c r="AU180" s="307">
        <f t="shared" si="130"/>
        <v>1.0633427985710882</v>
      </c>
      <c r="AV180" s="307">
        <f t="shared" si="130"/>
        <v>1.020871467029824</v>
      </c>
      <c r="AW180" s="307">
        <f t="shared" si="130"/>
        <v>0.97994095528453851</v>
      </c>
      <c r="AX180" s="307">
        <f t="shared" si="130"/>
        <v>0.94050597140413095</v>
      </c>
      <c r="AY180" s="307">
        <f t="shared" si="130"/>
        <v>0.9025217583660039</v>
      </c>
      <c r="AZ180" s="307">
        <f t="shared" si="130"/>
        <v>0.86594416154121434</v>
      </c>
      <c r="BA180" s="307">
        <f t="shared" si="130"/>
        <v>0.83072968767197397</v>
      </c>
      <c r="BB180" s="307">
        <f t="shared" si="130"/>
        <v>0.79683555604653533</v>
      </c>
      <c r="BC180" s="307">
        <f t="shared" si="130"/>
        <v>0.764219742525995</v>
      </c>
    </row>
    <row r="181" spans="2:55" s="206" customFormat="1" ht="16.899999999999999" customHeight="1" outlineLevel="1" x14ac:dyDescent="0.25">
      <c r="B181" s="300" t="s">
        <v>417</v>
      </c>
      <c r="C181" s="307">
        <f>C180</f>
        <v>11.927145816574477</v>
      </c>
      <c r="D181" s="312">
        <f t="shared" ref="D181" si="131">C181+D180</f>
        <v>8.514000665789176</v>
      </c>
      <c r="E181" s="312">
        <f t="shared" ref="E181" si="132">D181+E180</f>
        <v>3.6927402621751337</v>
      </c>
      <c r="F181" s="312">
        <f t="shared" ref="F181" si="133">E181+F180</f>
        <v>-11.658617431445339</v>
      </c>
      <c r="G181" s="312">
        <f t="shared" ref="G181" si="134">F181+G180</f>
        <v>-25.61015428075352</v>
      </c>
      <c r="H181" s="312">
        <f t="shared" ref="H181" si="135">G181+H180</f>
        <v>-38.268246225446262</v>
      </c>
      <c r="I181" s="312">
        <f t="shared" ref="I181" si="136">H181+I180</f>
        <v>-49.731862567076156</v>
      </c>
      <c r="J181" s="312">
        <f t="shared" ref="J181" si="137">I181+J180</f>
        <v>-60.093055794553678</v>
      </c>
      <c r="K181" s="312">
        <f t="shared" ref="K181" si="138">J181+K180</f>
        <v>-69.437420095462315</v>
      </c>
      <c r="L181" s="312">
        <f t="shared" ref="L181" si="139">K181+L180</f>
        <v>-77.844520507641519</v>
      </c>
      <c r="M181" s="312">
        <f t="shared" ref="M181" si="140">L181+M180</f>
        <v>-85.388294545663555</v>
      </c>
      <c r="N181" s="312">
        <f t="shared" ref="N181" si="141">M181+N180</f>
        <v>-92.137428024247797</v>
      </c>
      <c r="O181" s="312">
        <f t="shared" ref="O181" si="142">N181+O180</f>
        <v>-98.155706694886021</v>
      </c>
      <c r="P181" s="312">
        <f t="shared" ref="P181" si="143">O181+P180</f>
        <v>-103.50234521258787</v>
      </c>
      <c r="Q181" s="312">
        <f t="shared" ref="Q181" si="144">P181+Q180</f>
        <v>-108.23229485631249</v>
      </c>
      <c r="R181" s="312">
        <f t="shared" ref="R181" si="145">Q181+R180</f>
        <v>-112.39653133897001</v>
      </c>
      <c r="S181" s="312">
        <f t="shared" ref="S181" si="146">R181+S180</f>
        <v>-116.04232396051552</v>
      </c>
      <c r="T181" s="312">
        <f t="shared" ref="T181" si="147">S181+T180</f>
        <v>-119.21348728029997</v>
      </c>
      <c r="U181" s="312">
        <f t="shared" ref="U181" si="148">T181+U180</f>
        <v>-121.95061641218497</v>
      </c>
      <c r="V181" s="312">
        <f t="shared" ref="V181" si="149">U181+V180</f>
        <v>-124.29130697769186</v>
      </c>
      <c r="W181" s="312">
        <f t="shared" ref="W181" si="150">V181+W180</f>
        <v>-126.27036068837197</v>
      </c>
      <c r="X181" s="312">
        <f t="shared" ref="X181" si="151">W181+X180</f>
        <v>-127.91997746840595</v>
      </c>
      <c r="Y181" s="312">
        <f t="shared" ref="Y181" si="152">X181+Y180</f>
        <v>-129.2699349719303</v>
      </c>
      <c r="Z181" s="312">
        <f t="shared" ref="Z181" si="153">Y181+Z180</f>
        <v>-126.87923739434046</v>
      </c>
      <c r="AA181" s="312">
        <f t="shared" ref="AA181" si="154">Z181+AA180</f>
        <v>-124.57338883457689</v>
      </c>
      <c r="AB181" s="312">
        <f t="shared" ref="AB181" si="155">AA181+AB180</f>
        <v>-122.35003657788974</v>
      </c>
      <c r="AC181" s="312">
        <f t="shared" ref="AC181" si="156">AB181+AC180</f>
        <v>-120.20684259297776</v>
      </c>
      <c r="AD181" s="312">
        <f t="shared" ref="AD181" si="157">AC181+AD180</f>
        <v>-118.1414884064632</v>
      </c>
      <c r="AE181" s="312">
        <f t="shared" ref="AE181" si="158">AD181+AE180</f>
        <v>-116.15167942810253</v>
      </c>
      <c r="AF181" s="312">
        <f t="shared" ref="AF181" si="159">AE181+AF180</f>
        <v>-114.23514877084077</v>
      </c>
      <c r="AG181" s="312">
        <f t="shared" ref="AG181" si="160">AF181+AG180</f>
        <v>-112.38966060670485</v>
      </c>
      <c r="AH181" s="312">
        <f t="shared" ref="AH181" si="161">AG181+AH180</f>
        <v>-110.61301309662443</v>
      </c>
      <c r="AI181" s="312">
        <f t="shared" ref="AI181" si="162">AH181+AI180</f>
        <v>-108.90304092955374</v>
      </c>
      <c r="AJ181" s="312">
        <f t="shared" ref="AJ181" si="163">AI181+AJ180</f>
        <v>-107.25761750373267</v>
      </c>
      <c r="AK181" s="312">
        <f t="shared" ref="AK181" si="164">AJ181+AK180</f>
        <v>-105.67465678055893</v>
      </c>
      <c r="AL181" s="312">
        <f t="shared" ref="AL181" si="165">AK181+AL180</f>
        <v>-104.15211483933403</v>
      </c>
      <c r="AM181" s="312">
        <f t="shared" ref="AM181" si="166">AL181+AM180</f>
        <v>-102.68799115908519</v>
      </c>
      <c r="AN181" s="312">
        <f t="shared" ref="AN181" si="167">AM181+AN180</f>
        <v>-101.28032965174215</v>
      </c>
      <c r="AO181" s="312">
        <f t="shared" ref="AO181" si="168">AN181+AO180</f>
        <v>-99.927219469155077</v>
      </c>
      <c r="AP181" s="312">
        <f t="shared" ref="AP181" si="169">AO181+AP180</f>
        <v>-98.626795604767409</v>
      </c>
      <c r="AQ181" s="312">
        <f t="shared" ref="AQ181" si="170">AP181+AQ180</f>
        <v>-97.377239309199268</v>
      </c>
      <c r="AR181" s="312">
        <f t="shared" ref="AR181" si="171">AQ181+AR180</f>
        <v>-96.176778337544462</v>
      </c>
      <c r="AS181" s="312">
        <f t="shared" ref="AS181" si="172">AR181+AS180</f>
        <v>-95.023687044830993</v>
      </c>
      <c r="AT181" s="312">
        <f t="shared" ref="AT181" si="173">AS181+AT180</f>
        <v>-93.916286344834944</v>
      </c>
      <c r="AU181" s="312">
        <f t="shared" ref="AU181" si="174">AT181+AU180</f>
        <v>-92.852943546263859</v>
      </c>
      <c r="AV181" s="312">
        <f t="shared" ref="AV181" si="175">AU181+AV180</f>
        <v>-91.832072079234038</v>
      </c>
      <c r="AW181" s="312">
        <f t="shared" ref="AW181" si="176">AV181+AW180</f>
        <v>-90.852131123949505</v>
      </c>
      <c r="AX181" s="312">
        <f t="shared" ref="AX181" si="177">AW181+AX180</f>
        <v>-89.911625152545369</v>
      </c>
      <c r="AY181" s="312">
        <f t="shared" ref="AY181" si="178">AX181+AY180</f>
        <v>-89.009103394179363</v>
      </c>
      <c r="AZ181" s="312">
        <f t="shared" ref="AZ181" si="179">AY181+AZ180</f>
        <v>-88.143159232638155</v>
      </c>
      <c r="BA181" s="312">
        <f t="shared" ref="BA181" si="180">AZ181+BA180</f>
        <v>-87.312429544966179</v>
      </c>
      <c r="BB181" s="312">
        <f t="shared" ref="BB181" si="181">BA181+BB180</f>
        <v>-86.515593988919647</v>
      </c>
      <c r="BC181" s="312">
        <f t="shared" ref="BC181" si="182">BB181+BC180</f>
        <v>-85.751374246393652</v>
      </c>
    </row>
    <row r="182" spans="2:55" s="206" customFormat="1" ht="16.899999999999999" customHeight="1" outlineLevel="1" x14ac:dyDescent="0.25">
      <c r="B182" s="300" t="s">
        <v>418</v>
      </c>
      <c r="C182" s="307">
        <f t="shared" ref="C182:AH182" si="183">C167/(1+$C$28)^C32</f>
        <v>65.40205267837058</v>
      </c>
      <c r="D182" s="307">
        <f t="shared" si="183"/>
        <v>87.17187136356452</v>
      </c>
      <c r="E182" s="307">
        <f t="shared" si="183"/>
        <v>75.36494890475619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1</v>
      </c>
      <c r="AL183" s="322">
        <f t="shared" si="186"/>
        <v>1</v>
      </c>
      <c r="AM183" s="322">
        <f t="shared" si="186"/>
        <v>1</v>
      </c>
      <c r="AN183" s="322">
        <f t="shared" si="186"/>
        <v>1</v>
      </c>
      <c r="AO183" s="322">
        <f t="shared" si="186"/>
        <v>1</v>
      </c>
      <c r="AP183" s="322">
        <f t="shared" si="186"/>
        <v>1</v>
      </c>
      <c r="AQ183" s="322">
        <f t="shared" si="186"/>
        <v>1</v>
      </c>
      <c r="AR183" s="322">
        <f t="shared" si="186"/>
        <v>1</v>
      </c>
      <c r="AS183" s="322">
        <f t="shared" si="186"/>
        <v>1</v>
      </c>
      <c r="AT183" s="322">
        <f t="shared" si="186"/>
        <v>1</v>
      </c>
      <c r="AU183" s="322">
        <f t="shared" si="186"/>
        <v>0.46008469785341743</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0.72255047376280834</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opLeftCell="A13" zoomScale="75" zoomScaleNormal="75" workbookViewId="0">
      <selection activeCell="C20" sqref="C20"/>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9" t="str">
        <f>'R&amp;C-Painel de Controle'!G2</f>
        <v>CIRSOP - Consórcio RSU Oeste Paulista</v>
      </c>
      <c r="D2" s="2380"/>
      <c r="E2" s="2380"/>
      <c r="F2" s="2380"/>
      <c r="G2" s="2380"/>
      <c r="H2" s="2381"/>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615</v>
      </c>
      <c r="D4" s="1891" t="str">
        <f>D104</f>
        <v>t/d</v>
      </c>
      <c r="E4" s="1892"/>
      <c r="F4" s="1892"/>
      <c r="G4" s="1892"/>
      <c r="H4" s="1893"/>
      <c r="I4" s="1192"/>
    </row>
    <row r="5" spans="1:60" ht="19.899999999999999" customHeight="1" x14ac:dyDescent="0.25">
      <c r="B5" s="1894" t="s">
        <v>1119</v>
      </c>
      <c r="C5" s="1895">
        <f>'R&amp;C-Painel de Controle'!D33</f>
        <v>268.77733415910234</v>
      </c>
      <c r="D5" s="1896" t="s">
        <v>342</v>
      </c>
      <c r="E5" s="1897"/>
      <c r="F5" s="1897"/>
      <c r="G5" s="1897"/>
      <c r="H5" s="1898"/>
      <c r="I5" s="1192"/>
    </row>
    <row r="6" spans="1:60" s="1998" customFormat="1" ht="19.899999999999999" customHeight="1" x14ac:dyDescent="0.25">
      <c r="A6" s="383"/>
      <c r="B6" s="1894" t="s">
        <v>1120</v>
      </c>
      <c r="C6" s="1895">
        <f>'R&amp;C-Painel de Controle'!H33</f>
        <v>288.27317615198319</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9.611299999999999E-2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82" t="s">
        <v>1092</v>
      </c>
      <c r="C10" s="2383"/>
      <c r="D10" s="2386" t="s">
        <v>1122</v>
      </c>
      <c r="E10" s="2387"/>
      <c r="F10" s="2387"/>
      <c r="G10" s="2387"/>
      <c r="H10" s="2388"/>
      <c r="J10" s="1842" t="s">
        <v>1089</v>
      </c>
      <c r="K10" s="1842" t="s">
        <v>1087</v>
      </c>
      <c r="L10" s="1842" t="s">
        <v>1090</v>
      </c>
      <c r="M10" s="1842" t="s">
        <v>1088</v>
      </c>
      <c r="AI10" s="1734"/>
    </row>
    <row r="11" spans="1:60" s="1079" customFormat="1" ht="19.899999999999999" customHeight="1" thickBot="1" x14ac:dyDescent="0.3">
      <c r="A11" s="1734"/>
      <c r="B11" s="2384"/>
      <c r="C11" s="2385"/>
      <c r="D11" s="2389"/>
      <c r="E11" s="2390"/>
      <c r="F11" s="2390"/>
      <c r="G11" s="2390"/>
      <c r="H11" s="2391"/>
      <c r="AI11" s="1734"/>
    </row>
    <row r="12" spans="1:60" ht="4.9000000000000004" customHeight="1" thickTop="1" thickBot="1" x14ac:dyDescent="0.3"/>
    <row r="13" spans="1:60" s="42" customFormat="1" ht="25.15" customHeight="1" thickTop="1" thickBot="1" x14ac:dyDescent="0.3">
      <c r="A13" s="1740"/>
      <c r="B13" s="2396" t="s">
        <v>1084</v>
      </c>
      <c r="C13" s="2397"/>
      <c r="D13" s="2397"/>
      <c r="E13" s="2397"/>
      <c r="F13" s="2397"/>
      <c r="G13" s="2397"/>
      <c r="H13" s="2398"/>
      <c r="I13" s="1783"/>
      <c r="J13" s="1783"/>
      <c r="AI13" s="1740"/>
    </row>
    <row r="14" spans="1:60" s="860" customFormat="1" ht="15"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customHeight="1" outlineLevel="1" x14ac:dyDescent="0.25">
      <c r="A15" s="2378"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customHeight="1" outlineLevel="1" x14ac:dyDescent="0.25">
      <c r="A16" s="2378"/>
      <c r="B16" s="1792" t="str">
        <f>'C-FCL Real'!B35</f>
        <v>Dados Quantitativos RSU</v>
      </c>
      <c r="C16" s="1807">
        <f>SUMIF($D$15:$BG$15,1,D16:BG16)</f>
        <v>7221055.1194247082</v>
      </c>
      <c r="D16" s="1802">
        <f>'C-FCL Real'!C35</f>
        <v>191880</v>
      </c>
      <c r="E16" s="1787">
        <f>'C-FCL Real'!D35</f>
        <v>192781.83599999998</v>
      </c>
      <c r="F16" s="1787">
        <f>'C-FCL Real'!E35</f>
        <v>193687.91062919996</v>
      </c>
      <c r="G16" s="1787">
        <f>'C-FCL Real'!F35</f>
        <v>194598.2438091572</v>
      </c>
      <c r="H16" s="1787">
        <f>'C-FCL Real'!G35</f>
        <v>195512.85555506023</v>
      </c>
      <c r="I16" s="1787">
        <f>'C-FCL Real'!H35</f>
        <v>196431.765976169</v>
      </c>
      <c r="J16" s="1787">
        <f>'C-FCL Real'!I35</f>
        <v>197354.99527625699</v>
      </c>
      <c r="K16" s="1787">
        <f>'C-FCL Real'!J35</f>
        <v>198282.56375405539</v>
      </c>
      <c r="L16" s="1787">
        <f>'C-FCL Real'!K35</f>
        <v>199214.49180369943</v>
      </c>
      <c r="M16" s="1787">
        <f>'C-FCL Real'!L35</f>
        <v>200150.79991517682</v>
      </c>
      <c r="N16" s="1787">
        <f>'C-FCL Real'!M35</f>
        <v>201091.50867477813</v>
      </c>
      <c r="O16" s="1787">
        <f>'C-FCL Real'!N35</f>
        <v>202036.63876554958</v>
      </c>
      <c r="P16" s="1787">
        <f>'C-FCL Real'!O35</f>
        <v>202986.21096774764</v>
      </c>
      <c r="Q16" s="1787">
        <f>'C-FCL Real'!P35</f>
        <v>203940.24615929605</v>
      </c>
      <c r="R16" s="1787">
        <f>'C-FCL Real'!Q35</f>
        <v>204898.76531624471</v>
      </c>
      <c r="S16" s="1787">
        <f>'C-FCL Real'!O35</f>
        <v>202986.21096774764</v>
      </c>
      <c r="T16" s="1787">
        <f>'C-FCL Real'!P35</f>
        <v>203940.24615929605</v>
      </c>
      <c r="U16" s="1787">
        <f>'C-FCL Real'!Q35</f>
        <v>204898.76531624471</v>
      </c>
      <c r="V16" s="1787">
        <f>'C-FCL Real'!R35</f>
        <v>205861.78951323105</v>
      </c>
      <c r="W16" s="1787">
        <f>'C-FCL Real'!S35</f>
        <v>206829.33992394322</v>
      </c>
      <c r="X16" s="1787">
        <f>'C-FCL Real'!T35</f>
        <v>207801.43782158574</v>
      </c>
      <c r="Y16" s="1787">
        <f>'C-FCL Real'!U35</f>
        <v>208778.10457934719</v>
      </c>
      <c r="Z16" s="1787">
        <f>'C-FCL Real'!V35</f>
        <v>209759.3616708701</v>
      </c>
      <c r="AA16" s="1787">
        <f>'C-FCL Real'!W35</f>
        <v>210745.23067072316</v>
      </c>
      <c r="AB16" s="1787">
        <f>'C-FCL Real'!X35</f>
        <v>211735.73325487555</v>
      </c>
      <c r="AC16" s="1787">
        <f>'C-FCL Real'!Y35</f>
        <v>212730.89120117345</v>
      </c>
      <c r="AD16" s="1787">
        <f>'C-FCL Real'!Z35</f>
        <v>213730.72638981894</v>
      </c>
      <c r="AE16" s="1787">
        <f>'C-FCL Real'!AA35</f>
        <v>214735.26080385107</v>
      </c>
      <c r="AF16" s="1787">
        <f>'C-FCL Real'!AB35</f>
        <v>215744.51652962915</v>
      </c>
      <c r="AG16" s="1787">
        <f>'C-FCL Real'!AC35</f>
        <v>216758.51575731838</v>
      </c>
      <c r="AH16" s="1787">
        <f>'C-FCL Real'!AD35</f>
        <v>217777.28078137778</v>
      </c>
      <c r="AI16" s="1787">
        <f>'C-FCL Real'!AE35</f>
        <v>218800.83400105024</v>
      </c>
      <c r="AJ16" s="1787">
        <f>'C-FCL Real'!AF35</f>
        <v>219829.19792085516</v>
      </c>
      <c r="AK16" s="1787">
        <f>'C-FCL Real'!AG35</f>
        <v>220862.39515108315</v>
      </c>
      <c r="AL16" s="1787">
        <f>'C-FCL Real'!AH35</f>
        <v>221900.44840829322</v>
      </c>
      <c r="AM16" s="1787">
        <f>'C-FCL Real'!AI35</f>
        <v>222943.38051581217</v>
      </c>
      <c r="AN16" s="1787">
        <f>'C-FCL Real'!AJ35</f>
        <v>223991.21440423647</v>
      </c>
      <c r="AO16" s="1787">
        <f>'C-FCL Real'!AK35</f>
        <v>225043.97311193636</v>
      </c>
      <c r="AP16" s="1787">
        <f>'C-FCL Real'!AL35</f>
        <v>226101.67978556245</v>
      </c>
      <c r="AQ16" s="1787">
        <f>'C-FCL Real'!AM35</f>
        <v>227164.35768055456</v>
      </c>
      <c r="AR16" s="1787">
        <f>'C-FCL Real'!AN35</f>
        <v>228232.03016165315</v>
      </c>
      <c r="AS16" s="1787">
        <f>'C-FCL Real'!AO35</f>
        <v>229304.7207034129</v>
      </c>
      <c r="AT16" s="1787">
        <f>'C-FCL Real'!AP35</f>
        <v>230382.45289071891</v>
      </c>
      <c r="AU16" s="1787">
        <f>'C-FCL Real'!AQ35</f>
        <v>231465.25041930526</v>
      </c>
      <c r="AV16" s="1787">
        <f>'C-FCL Real'!AR35</f>
        <v>232553.13709627598</v>
      </c>
      <c r="AW16" s="1787">
        <f>'C-FCL Real'!AS35</f>
        <v>233646.13684062846</v>
      </c>
      <c r="AX16" s="1787">
        <f>'C-FCL Real'!AT35</f>
        <v>234744.27368377941</v>
      </c>
      <c r="AY16" s="1787">
        <f>'C-FCL Real'!AU35</f>
        <v>235847.57177009314</v>
      </c>
      <c r="AZ16" s="1787">
        <f>'C-FCL Real'!AV35</f>
        <v>236956.05535741255</v>
      </c>
      <c r="BA16" s="1787">
        <f>'C-FCL Real'!AW35</f>
        <v>238069.74881759236</v>
      </c>
      <c r="BB16" s="1787">
        <f>'C-FCL Real'!AX35</f>
        <v>239188.67663703504</v>
      </c>
      <c r="BC16" s="1787">
        <f>'C-FCL Real'!AY35</f>
        <v>240312.86341722909</v>
      </c>
      <c r="BD16" s="1787">
        <f>'C-FCL Real'!AZ35</f>
        <v>241442.33387529006</v>
      </c>
      <c r="BE16" s="1787">
        <f>'C-FCL Real'!BA35</f>
        <v>242577.11284450389</v>
      </c>
      <c r="BF16" s="1787">
        <f>'C-FCL Real'!BB35</f>
        <v>243717.22527487305</v>
      </c>
      <c r="BG16" s="1787">
        <f>'C-FCL Real'!BC35</f>
        <v>244862.69623366493</v>
      </c>
      <c r="BH16" s="1787">
        <f>'C-FCL Real'!BD35</f>
        <v>0</v>
      </c>
    </row>
    <row r="17" spans="1:60" ht="15"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customHeight="1" outlineLevel="1" x14ac:dyDescent="0.25">
      <c r="A18" s="1823">
        <f>C18*1000000/$C$16</f>
        <v>49.75539703531237</v>
      </c>
      <c r="B18" s="1794" t="str">
        <f>'C-FCL Real'!B63</f>
        <v>Dados de Capex</v>
      </c>
      <c r="C18" s="1809">
        <f>SUMIF($D$15:$BG$15,1,D18:BG18)</f>
        <v>359.28646448085135</v>
      </c>
      <c r="D18" s="1804">
        <f>'C-FCL Real'!C63</f>
        <v>93.431503826243699</v>
      </c>
      <c r="E18" s="51">
        <f>'C-FCL Real'!D63</f>
        <v>136.50031633704398</v>
      </c>
      <c r="F18" s="51">
        <f>'C-FCL Real'!E63</f>
        <v>129.35464431756364</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customHeight="1" outlineLevel="1" x14ac:dyDescent="0.25">
      <c r="A19" s="1823">
        <f>C19*1000000/$C$16</f>
        <v>45.392579994318446</v>
      </c>
      <c r="B19" s="1847" t="s">
        <v>1008</v>
      </c>
      <c r="C19" s="1808">
        <f>SUMIF($D$15:$BG$15,1,D19:BG19)</f>
        <v>327.78232215186881</v>
      </c>
      <c r="D19" s="1804">
        <f t="shared" ref="D19:AJ19" si="0">NPV($C$8,D18:D18)</f>
        <v>85.238934148435163</v>
      </c>
      <c r="E19" s="51">
        <f t="shared" si="0"/>
        <v>124.53124480509217</v>
      </c>
      <c r="F19" s="51">
        <f t="shared" si="0"/>
        <v>118.01214319834146</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customHeight="1" outlineLevel="1" x14ac:dyDescent="0.25">
      <c r="A20" s="1823"/>
      <c r="B20" s="1192"/>
      <c r="C20" s="1811">
        <f>C18*1000000/(C16/C43)</f>
        <v>1741.438896235933</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customHeight="1" outlineLevel="1" x14ac:dyDescent="0.25">
      <c r="A21" s="1823">
        <f>C21*1000000/$C$16</f>
        <v>193.82915612587783</v>
      </c>
      <c r="B21" s="1794" t="str">
        <f>'C-FCL Real'!B119</f>
        <v>Dados de Opex + Gestão do Contrato</v>
      </c>
      <c r="C21" s="1809">
        <f>SUMIF($D$15:$BG$15,1,D21:BG21)</f>
        <v>1399.6510201365411</v>
      </c>
      <c r="D21" s="1804">
        <f>'C-FCL Real'!C119</f>
        <v>8.7147128524999999</v>
      </c>
      <c r="E21" s="51">
        <f>'C-FCL Real'!D119</f>
        <v>8.7147128524999999</v>
      </c>
      <c r="F21" s="51">
        <f>'C-FCL Real'!E119</f>
        <v>8.7147128524999999</v>
      </c>
      <c r="G21" s="51">
        <f>'C-FCL Real'!F119</f>
        <v>42.92209004934503</v>
      </c>
      <c r="H21" s="51">
        <f>'C-FCL Real'!G119</f>
        <v>42.92209004934503</v>
      </c>
      <c r="I21" s="51">
        <f>'C-FCL Real'!H119</f>
        <v>42.92209004934503</v>
      </c>
      <c r="J21" s="51">
        <f>'C-FCL Real'!I119</f>
        <v>42.92209004934503</v>
      </c>
      <c r="K21" s="51">
        <f>'C-FCL Real'!J119</f>
        <v>42.92209004934503</v>
      </c>
      <c r="L21" s="51">
        <f>'C-FCL Real'!K119</f>
        <v>42.92209004934503</v>
      </c>
      <c r="M21" s="51">
        <f>'C-FCL Real'!L119</f>
        <v>42.92209004934503</v>
      </c>
      <c r="N21" s="51">
        <f>'C-FCL Real'!M119</f>
        <v>42.92209004934503</v>
      </c>
      <c r="O21" s="51">
        <f>'C-FCL Real'!N119</f>
        <v>42.92209004934503</v>
      </c>
      <c r="P21" s="51">
        <f>'C-FCL Real'!O119</f>
        <v>42.92209004934503</v>
      </c>
      <c r="Q21" s="51">
        <f>'C-FCL Real'!P119</f>
        <v>42.92209004934503</v>
      </c>
      <c r="R21" s="51">
        <f>'C-FCL Real'!Q119</f>
        <v>42.92209004934503</v>
      </c>
      <c r="S21" s="51">
        <f>'C-FCL Real'!O119</f>
        <v>42.92209004934503</v>
      </c>
      <c r="T21" s="51">
        <f>'C-FCL Real'!P119</f>
        <v>42.92209004934503</v>
      </c>
      <c r="U21" s="51">
        <f>'C-FCL Real'!Q119</f>
        <v>42.92209004934503</v>
      </c>
      <c r="V21" s="51">
        <f>'C-FCL Real'!R119</f>
        <v>42.92209004934503</v>
      </c>
      <c r="W21" s="51">
        <f>'C-FCL Real'!S119</f>
        <v>42.92209004934503</v>
      </c>
      <c r="X21" s="51">
        <f>'C-FCL Real'!T119</f>
        <v>42.92209004934503</v>
      </c>
      <c r="Y21" s="51">
        <f>'C-FCL Real'!U119</f>
        <v>42.92209004934503</v>
      </c>
      <c r="Z21" s="51">
        <f>'C-FCL Real'!V119</f>
        <v>42.92209004934503</v>
      </c>
      <c r="AA21" s="51">
        <f>'C-FCL Real'!W119</f>
        <v>42.92209004934503</v>
      </c>
      <c r="AB21" s="51">
        <f>'C-FCL Real'!X119</f>
        <v>42.92209004934503</v>
      </c>
      <c r="AC21" s="51">
        <f>'C-FCL Real'!Y119</f>
        <v>42.92209004934503</v>
      </c>
      <c r="AD21" s="51">
        <f>'C-FCL Real'!Z119</f>
        <v>42.92209004934503</v>
      </c>
      <c r="AE21" s="51">
        <f>'C-FCL Real'!AA119</f>
        <v>42.92209004934503</v>
      </c>
      <c r="AF21" s="51">
        <f>'C-FCL Real'!AB119</f>
        <v>42.92209004934503</v>
      </c>
      <c r="AG21" s="51">
        <f>'C-FCL Real'!AC119</f>
        <v>42.92209004934503</v>
      </c>
      <c r="AH21" s="51">
        <f>'C-FCL Real'!AD119</f>
        <v>42.92209004934503</v>
      </c>
      <c r="AI21" s="51">
        <f>'C-FCL Real'!AE119</f>
        <v>42.92209004934503</v>
      </c>
      <c r="AJ21" s="1739">
        <f>'C-FCL Real'!AF119</f>
        <v>42.92209004934503</v>
      </c>
      <c r="AK21" s="51">
        <f>'C-FCL Real'!AG119</f>
        <v>42.92209004934503</v>
      </c>
      <c r="AL21" s="51">
        <f>'C-FCL Real'!AH119</f>
        <v>42.92209004934503</v>
      </c>
      <c r="AM21" s="51">
        <f>'C-FCL Real'!AI119</f>
        <v>42.92209004934503</v>
      </c>
      <c r="AN21" s="51">
        <f>'C-FCL Real'!AJ119</f>
        <v>42.92209004934503</v>
      </c>
      <c r="AO21" s="51">
        <f>'C-FCL Real'!AK119</f>
        <v>42.92209004934503</v>
      </c>
      <c r="AP21" s="51">
        <f>'C-FCL Real'!AL119</f>
        <v>42.92209004934503</v>
      </c>
      <c r="AQ21" s="51">
        <f>'C-FCL Real'!AM119</f>
        <v>42.92209004934503</v>
      </c>
      <c r="AR21" s="51">
        <f>'C-FCL Real'!AN119</f>
        <v>42.92209004934503</v>
      </c>
      <c r="AS21" s="51">
        <f>'C-FCL Real'!AO119</f>
        <v>42.92209004934503</v>
      </c>
      <c r="AT21" s="51">
        <f>'C-FCL Real'!AP119</f>
        <v>42.92209004934503</v>
      </c>
      <c r="AU21" s="51">
        <f>'C-FCL Real'!AQ119</f>
        <v>42.92209004934503</v>
      </c>
      <c r="AV21" s="51">
        <f>'C-FCL Real'!AR119</f>
        <v>42.92209004934503</v>
      </c>
      <c r="AW21" s="51">
        <f>'C-FCL Real'!AS119</f>
        <v>42.92209004934503</v>
      </c>
      <c r="AX21" s="51">
        <f>'C-FCL Real'!AT119</f>
        <v>42.92209004934503</v>
      </c>
      <c r="AY21" s="51">
        <f>'C-FCL Real'!AU119</f>
        <v>42.92209004934503</v>
      </c>
      <c r="AZ21" s="51">
        <f>'C-FCL Real'!AV119</f>
        <v>42.92209004934503</v>
      </c>
      <c r="BA21" s="51">
        <f>'C-FCL Real'!AW119</f>
        <v>42.92209004934503</v>
      </c>
      <c r="BB21" s="51">
        <f>'C-FCL Real'!AX119</f>
        <v>42.92209004934503</v>
      </c>
      <c r="BC21" s="51">
        <f>'C-FCL Real'!AY119</f>
        <v>42.92209004934503</v>
      </c>
      <c r="BD21" s="51">
        <f>'C-FCL Real'!AZ119</f>
        <v>42.92209004934503</v>
      </c>
      <c r="BE21" s="51">
        <f>'C-FCL Real'!BA119</f>
        <v>42.92209004934503</v>
      </c>
      <c r="BF21" s="51">
        <f>'C-FCL Real'!BB119</f>
        <v>42.92209004934503</v>
      </c>
      <c r="BG21" s="51">
        <f>'C-FCL Real'!BC119</f>
        <v>42.92209004934503</v>
      </c>
      <c r="BH21" s="51">
        <f>'C-FCL Real'!BD119</f>
        <v>0</v>
      </c>
    </row>
    <row r="22" spans="1:60" ht="15" customHeight="1" outlineLevel="1" x14ac:dyDescent="0.25">
      <c r="A22" s="1823">
        <f>C22*1000000/$C$16</f>
        <v>165.98755583423687</v>
      </c>
      <c r="B22" s="1847" t="s">
        <v>1009</v>
      </c>
      <c r="C22" s="1808">
        <f>SUMIF($D$15:$BG$15,1,D22:BG22)</f>
        <v>1198.6052898176108</v>
      </c>
      <c r="D22" s="1804">
        <f t="shared" ref="D22:AJ22" si="1">NPV($C$8,D21:D21)</f>
        <v>7.9505606196623893</v>
      </c>
      <c r="E22" s="51">
        <f t="shared" si="1"/>
        <v>7.9505606196623893</v>
      </c>
      <c r="F22" s="51">
        <f t="shared" si="1"/>
        <v>7.9505606196623893</v>
      </c>
      <c r="G22" s="51">
        <f t="shared" si="1"/>
        <v>39.158453598620795</v>
      </c>
      <c r="H22" s="51">
        <f t="shared" si="1"/>
        <v>39.158453598620795</v>
      </c>
      <c r="I22" s="51">
        <f t="shared" si="1"/>
        <v>39.158453598620795</v>
      </c>
      <c r="J22" s="51">
        <f t="shared" si="1"/>
        <v>39.158453598620795</v>
      </c>
      <c r="K22" s="51">
        <f t="shared" si="1"/>
        <v>39.158453598620795</v>
      </c>
      <c r="L22" s="51">
        <f t="shared" si="1"/>
        <v>39.158453598620795</v>
      </c>
      <c r="M22" s="51">
        <f t="shared" si="1"/>
        <v>39.158453598620795</v>
      </c>
      <c r="N22" s="51">
        <f t="shared" si="1"/>
        <v>39.158453598620795</v>
      </c>
      <c r="O22" s="51">
        <f t="shared" si="1"/>
        <v>39.158453598620795</v>
      </c>
      <c r="P22" s="51">
        <f t="shared" si="1"/>
        <v>39.158453598620795</v>
      </c>
      <c r="Q22" s="51">
        <f t="shared" si="1"/>
        <v>39.158453598620795</v>
      </c>
      <c r="R22" s="51">
        <f t="shared" si="1"/>
        <v>39.158453598620795</v>
      </c>
      <c r="S22" s="51">
        <f t="shared" si="1"/>
        <v>39.158453598620795</v>
      </c>
      <c r="T22" s="51">
        <f t="shared" si="1"/>
        <v>39.158453598620795</v>
      </c>
      <c r="U22" s="51">
        <f t="shared" si="1"/>
        <v>39.158453598620795</v>
      </c>
      <c r="V22" s="51">
        <f t="shared" si="1"/>
        <v>39.158453598620795</v>
      </c>
      <c r="W22" s="51">
        <f t="shared" si="1"/>
        <v>39.158453598620795</v>
      </c>
      <c r="X22" s="51">
        <f t="shared" si="1"/>
        <v>39.158453598620795</v>
      </c>
      <c r="Y22" s="51">
        <f t="shared" si="1"/>
        <v>39.158453598620795</v>
      </c>
      <c r="Z22" s="51">
        <f t="shared" si="1"/>
        <v>39.158453598620795</v>
      </c>
      <c r="AA22" s="51">
        <f t="shared" si="1"/>
        <v>39.158453598620795</v>
      </c>
      <c r="AB22" s="51">
        <f t="shared" si="1"/>
        <v>39.158453598620795</v>
      </c>
      <c r="AC22" s="51">
        <f t="shared" si="1"/>
        <v>39.158453598620795</v>
      </c>
      <c r="AD22" s="51">
        <f t="shared" si="1"/>
        <v>39.158453598620795</v>
      </c>
      <c r="AE22" s="51">
        <f t="shared" si="1"/>
        <v>39.158453598620795</v>
      </c>
      <c r="AF22" s="51">
        <f t="shared" si="1"/>
        <v>39.158453598620795</v>
      </c>
      <c r="AG22" s="51">
        <f t="shared" si="1"/>
        <v>39.158453598620795</v>
      </c>
      <c r="AH22" s="51">
        <f t="shared" si="1"/>
        <v>39.158453598620795</v>
      </c>
      <c r="AI22" s="51">
        <f t="shared" si="1"/>
        <v>39.158453598620795</v>
      </c>
      <c r="AJ22" s="1739">
        <f t="shared" si="1"/>
        <v>39.158453598620795</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customHeight="1" outlineLevel="1" x14ac:dyDescent="0.25">
      <c r="A23" s="1823"/>
      <c r="B23" s="1793"/>
      <c r="C23" s="1838">
        <f>C21*1000000/C16</f>
        <v>193.82915612587783</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customHeight="1" outlineLevel="1" x14ac:dyDescent="0.25">
      <c r="A27" s="1823">
        <f>C27*1000000/$C$16</f>
        <v>230.47656404143018</v>
      </c>
      <c r="B27" s="1794" t="str">
        <f>'C-FCL Real'!B148</f>
        <v>Dados de Receitas Diretas</v>
      </c>
      <c r="C27" s="1809">
        <f>SUMIF($D$15:$BG$15,1,D27:BG27)</f>
        <v>1664.2839726787861</v>
      </c>
      <c r="D27" s="1804">
        <f>'C-FCL Real'!C148-D30</f>
        <v>44.223843108269634</v>
      </c>
      <c r="E27" s="51">
        <f>'C-FCL Real'!D148-E30</f>
        <v>44.431695170878491</v>
      </c>
      <c r="F27" s="51">
        <f>'C-FCL Real'!E148-F30</f>
        <v>44.640524138181625</v>
      </c>
      <c r="G27" s="51">
        <f>'C-FCL Real'!F148-G30</f>
        <v>44.850334601631069</v>
      </c>
      <c r="H27" s="51">
        <f>'C-FCL Real'!G148-H30</f>
        <v>45.06113117425874</v>
      </c>
      <c r="I27" s="51">
        <f>'C-FCL Real'!H148-I30</f>
        <v>45.272918490777748</v>
      </c>
      <c r="J27" s="51">
        <f>'C-FCL Real'!I148-J30</f>
        <v>45.485701207684407</v>
      </c>
      <c r="K27" s="51">
        <f>'C-FCL Real'!J148-K30</f>
        <v>45.699484003360517</v>
      </c>
      <c r="L27" s="51">
        <f>'C-FCL Real'!K148-L30</f>
        <v>45.914271578176312</v>
      </c>
      <c r="M27" s="51">
        <f>'C-FCL Real'!L148-M30</f>
        <v>46.130068654593742</v>
      </c>
      <c r="N27" s="51">
        <f>'C-FCL Real'!M148-N30</f>
        <v>46.346879977270326</v>
      </c>
      <c r="O27" s="51">
        <f>'C-FCL Real'!N148-O30</f>
        <v>46.564710313163488</v>
      </c>
      <c r="P27" s="51">
        <f>'C-FCL Real'!O148-P30</f>
        <v>46.783564451635364</v>
      </c>
      <c r="Q27" s="51">
        <f>'C-FCL Real'!P148-Q30</f>
        <v>47.003447204558036</v>
      </c>
      <c r="R27" s="51">
        <f>'C-FCL Real'!Q148-R30</f>
        <v>47.224363406419457</v>
      </c>
      <c r="S27" s="51">
        <f>'C-FCL Real'!O148-S30</f>
        <v>46.783564451635364</v>
      </c>
      <c r="T27" s="51">
        <f>'C-FCL Real'!P148-T30</f>
        <v>47.003447204558036</v>
      </c>
      <c r="U27" s="51">
        <f>'C-FCL Real'!Q148-U30</f>
        <v>47.224363406419457</v>
      </c>
      <c r="V27" s="51">
        <f>'C-FCL Real'!R148-V30</f>
        <v>47.446317914429628</v>
      </c>
      <c r="W27" s="51">
        <f>'C-FCL Real'!S148-W30</f>
        <v>47.669315608627436</v>
      </c>
      <c r="X27" s="51">
        <f>'C-FCL Real'!T148-X30</f>
        <v>47.893361391987987</v>
      </c>
      <c r="Y27" s="51">
        <f>'C-FCL Real'!U148-Y30</f>
        <v>48.118460190530328</v>
      </c>
      <c r="Z27" s="51">
        <f>'C-FCL Real'!V148-Z30</f>
        <v>48.34461695342582</v>
      </c>
      <c r="AA27" s="51">
        <f>'C-FCL Real'!W148-AA30</f>
        <v>48.571836653106914</v>
      </c>
      <c r="AB27" s="51">
        <f>'C-FCL Real'!X148-AB30</f>
        <v>48.800124285376519</v>
      </c>
      <c r="AC27" s="51">
        <f>'C-FCL Real'!Y148-AC30</f>
        <v>49.029484869517781</v>
      </c>
      <c r="AD27" s="51">
        <f>'C-FCL Real'!Z148-AD30</f>
        <v>49.259923448404507</v>
      </c>
      <c r="AE27" s="51">
        <f>'C-FCL Real'!AA148-AE30</f>
        <v>49.491445088612004</v>
      </c>
      <c r="AF27" s="51">
        <f>'C-FCL Real'!AB148-AF30</f>
        <v>49.72405488052847</v>
      </c>
      <c r="AG27" s="51">
        <f>'C-FCL Real'!AC148-AG30</f>
        <v>49.957757938466962</v>
      </c>
      <c r="AH27" s="51">
        <f>'C-FCL Real'!AD148-AH30</f>
        <v>50.192559400777746</v>
      </c>
      <c r="AI27" s="51">
        <f>'C-FCL Real'!AE148-AI30</f>
        <v>50.428464429961402</v>
      </c>
      <c r="AJ27" s="1739">
        <f>'C-FCL Real'!AF148-AJ30</f>
        <v>50.665478212782219</v>
      </c>
      <c r="AK27" s="51">
        <f>'C-FCL Real'!AG148-AK30</f>
        <v>50.903605960382293</v>
      </c>
      <c r="AL27" s="51">
        <f>'C-FCL Real'!AH148-AL30</f>
        <v>51.142852908396073</v>
      </c>
      <c r="AM27" s="51">
        <f>'C-FCL Real'!AI148-AM30</f>
        <v>51.38322431706554</v>
      </c>
      <c r="AN27" s="51">
        <f>'C-FCL Real'!AJ148-AN30</f>
        <v>51.624725471355738</v>
      </c>
      <c r="AO27" s="51">
        <f>'C-FCL Real'!AK148-AO30</f>
        <v>51.867361681071102</v>
      </c>
      <c r="AP27" s="51">
        <f>'C-FCL Real'!AL148-AP30</f>
        <v>52.111138280972135</v>
      </c>
      <c r="AQ27" s="51">
        <f>'C-FCL Real'!AM148-AQ30</f>
        <v>52.356060630892692</v>
      </c>
      <c r="AR27" s="51">
        <f>'C-FCL Real'!AN148-AR30</f>
        <v>52.602134115857893</v>
      </c>
      <c r="AS27" s="51">
        <f>'C-FCL Real'!AO148-AS30</f>
        <v>52.849364146202419</v>
      </c>
      <c r="AT27" s="51">
        <f>'C-FCL Real'!AP148-AT30</f>
        <v>53.09775615768956</v>
      </c>
      <c r="AU27" s="51">
        <f>'C-FCL Real'!AQ148-AU30</f>
        <v>53.347315611630698</v>
      </c>
      <c r="AV27" s="51">
        <f>'C-FCL Real'!AR148-AV30</f>
        <v>53.598047995005352</v>
      </c>
      <c r="AW27" s="51">
        <f>'C-FCL Real'!AS148-AW30</f>
        <v>53.849958820581875</v>
      </c>
      <c r="AX27" s="51">
        <f>'C-FCL Real'!AT148-AX30</f>
        <v>54.103053627038605</v>
      </c>
      <c r="AY27" s="51">
        <f>'C-FCL Real'!AU148-AY30</f>
        <v>54.357337979085685</v>
      </c>
      <c r="AZ27" s="51">
        <f>'C-FCL Real'!AV148-AZ30</f>
        <v>54.612817467587384</v>
      </c>
      <c r="BA27" s="51">
        <f>'C-FCL Real'!AW148-BA30</f>
        <v>54.869497709685035</v>
      </c>
      <c r="BB27" s="51">
        <f>'C-FCL Real'!AX148-BB30</f>
        <v>55.12738434892055</v>
      </c>
      <c r="BC27" s="51">
        <f>'C-FCL Real'!AY148-BC30</f>
        <v>55.386483055360472</v>
      </c>
      <c r="BD27" s="51">
        <f>'C-FCL Real'!AZ148-BD30</f>
        <v>55.646799525720674</v>
      </c>
      <c r="BE27" s="51">
        <f>'C-FCL Real'!BA148-BE30</f>
        <v>55.908339483491545</v>
      </c>
      <c r="BF27" s="51">
        <f>'C-FCL Real'!BB148-BF30</f>
        <v>56.171108679063963</v>
      </c>
      <c r="BG27" s="51">
        <f>'C-FCL Real'!BC148-BG30</f>
        <v>56.435112889855553</v>
      </c>
      <c r="BH27" s="51">
        <f>'C-FCL Real'!BD148-BH30</f>
        <v>0</v>
      </c>
    </row>
    <row r="28" spans="1:60" ht="15" customHeight="1" outlineLevel="1" x14ac:dyDescent="0.25">
      <c r="A28" s="1823">
        <f>C28*1000000/$C$16</f>
        <v>197.37451400573261</v>
      </c>
      <c r="B28" s="1847" t="s">
        <v>1010</v>
      </c>
      <c r="C28" s="1808">
        <f>SUMIF($D$15:$BG$15,1,D28:BG28)</f>
        <v>1425.2522448050593</v>
      </c>
      <c r="D28" s="1804">
        <f t="shared" ref="D28:AJ28" si="3">NPV($C$8,D27:D27)</f>
        <v>40.346062046768573</v>
      </c>
      <c r="E28" s="51">
        <f t="shared" si="3"/>
        <v>40.535688538388371</v>
      </c>
      <c r="F28" s="51">
        <f t="shared" si="3"/>
        <v>40.726206274518802</v>
      </c>
      <c r="G28" s="51">
        <f t="shared" si="3"/>
        <v>40.917619444009034</v>
      </c>
      <c r="H28" s="51">
        <f t="shared" si="3"/>
        <v>41.109932255395883</v>
      </c>
      <c r="I28" s="51">
        <f t="shared" si="3"/>
        <v>41.30314893699623</v>
      </c>
      <c r="J28" s="51">
        <f t="shared" si="3"/>
        <v>41.497273737000121</v>
      </c>
      <c r="K28" s="51">
        <f t="shared" si="3"/>
        <v>41.692310923564015</v>
      </c>
      <c r="L28" s="51">
        <f t="shared" si="3"/>
        <v>41.888264784904763</v>
      </c>
      <c r="M28" s="51">
        <f t="shared" si="3"/>
        <v>42.085139629393822</v>
      </c>
      <c r="N28" s="51">
        <f t="shared" si="3"/>
        <v>42.282939785651962</v>
      </c>
      <c r="O28" s="51">
        <f t="shared" si="3"/>
        <v>42.481669602644523</v>
      </c>
      <c r="P28" s="51">
        <f t="shared" si="3"/>
        <v>42.681333449776957</v>
      </c>
      <c r="Q28" s="51">
        <f t="shared" si="3"/>
        <v>42.881935716990895</v>
      </c>
      <c r="R28" s="51">
        <f t="shared" si="3"/>
        <v>43.083480814860749</v>
      </c>
      <c r="S28" s="51">
        <f t="shared" si="3"/>
        <v>42.681333449776957</v>
      </c>
      <c r="T28" s="51">
        <f t="shared" si="3"/>
        <v>42.881935716990895</v>
      </c>
      <c r="U28" s="51">
        <f t="shared" si="3"/>
        <v>43.083480814860749</v>
      </c>
      <c r="V28" s="51">
        <f t="shared" si="3"/>
        <v>43.285973174690596</v>
      </c>
      <c r="W28" s="51">
        <f t="shared" si="3"/>
        <v>43.48941724861163</v>
      </c>
      <c r="X28" s="51">
        <f t="shared" si="3"/>
        <v>43.693817509680109</v>
      </c>
      <c r="Y28" s="51">
        <f t="shared" si="3"/>
        <v>43.899178451975601</v>
      </c>
      <c r="Z28" s="51">
        <f t="shared" si="3"/>
        <v>44.105504590699887</v>
      </c>
      <c r="AA28" s="51">
        <f t="shared" si="3"/>
        <v>44.312800462276172</v>
      </c>
      <c r="AB28" s="51">
        <f t="shared" si="3"/>
        <v>44.521070624448868</v>
      </c>
      <c r="AC28" s="51">
        <f t="shared" si="3"/>
        <v>44.73031965638377</v>
      </c>
      <c r="AD28" s="51">
        <f t="shared" si="3"/>
        <v>44.940552158768767</v>
      </c>
      <c r="AE28" s="51">
        <f t="shared" si="3"/>
        <v>45.151772753914976</v>
      </c>
      <c r="AF28" s="51">
        <f t="shared" si="3"/>
        <v>45.363986085858372</v>
      </c>
      <c r="AG28" s="51">
        <f t="shared" si="3"/>
        <v>45.577196820461914</v>
      </c>
      <c r="AH28" s="51">
        <f t="shared" si="3"/>
        <v>45.791409645518073</v>
      </c>
      <c r="AI28" s="51">
        <f t="shared" si="3"/>
        <v>46.006629270852009</v>
      </c>
      <c r="AJ28" s="1739">
        <f t="shared" si="3"/>
        <v>46.222860428425008</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customHeight="1" outlineLevel="1" x14ac:dyDescent="0.25">
      <c r="A30" s="1823">
        <f>C30*1000000/$C$16</f>
        <v>6.4606910835476699</v>
      </c>
      <c r="B30" s="1794" t="str">
        <f>'C-FCL Real'!B149</f>
        <v>Receita do Ente Público pela disposição do RPU</v>
      </c>
      <c r="C30" s="1809">
        <f>SUMIF($D$15:$BG$15,1,D30:BG30)</f>
        <v>46.653006423873471</v>
      </c>
      <c r="D30" s="1804">
        <f>'C-FCL Real'!C149</f>
        <v>1.2396774051111275</v>
      </c>
      <c r="E30" s="51">
        <f>'C-FCL Real'!D149</f>
        <v>1.2455038889151497</v>
      </c>
      <c r="F30" s="51">
        <f>'C-FCL Real'!E149</f>
        <v>1.2513577571930508</v>
      </c>
      <c r="G30" s="51">
        <f>'C-FCL Real'!F149</f>
        <v>1.257239138651858</v>
      </c>
      <c r="H30" s="51">
        <f>'C-FCL Real'!G149</f>
        <v>1.2631481626035217</v>
      </c>
      <c r="I30" s="51">
        <f>'C-FCL Real'!H149</f>
        <v>1.2690849589677582</v>
      </c>
      <c r="J30" s="51">
        <f>'C-FCL Real'!I149</f>
        <v>1.2750496582749065</v>
      </c>
      <c r="K30" s="51">
        <f>'C-FCL Real'!J149</f>
        <v>1.2810423916687985</v>
      </c>
      <c r="L30" s="51">
        <f>'C-FCL Real'!K149</f>
        <v>1.2870632909096418</v>
      </c>
      <c r="M30" s="51">
        <f>'C-FCL Real'!L149</f>
        <v>1.2931124883769169</v>
      </c>
      <c r="N30" s="51">
        <f>'C-FCL Real'!M149</f>
        <v>1.2991901170722884</v>
      </c>
      <c r="O30" s="51">
        <f>'C-FCL Real'!N149</f>
        <v>1.3052963106225279</v>
      </c>
      <c r="P30" s="51">
        <f>'C-FCL Real'!O149</f>
        <v>1.3114312032824538</v>
      </c>
      <c r="Q30" s="51">
        <f>'C-FCL Real'!P149</f>
        <v>1.3175949299378813</v>
      </c>
      <c r="R30" s="51">
        <f>'C-FCL Real'!Q149</f>
        <v>1.3237876261085892</v>
      </c>
      <c r="S30" s="51">
        <f>'C-FCL Real'!O149</f>
        <v>1.3114312032824538</v>
      </c>
      <c r="T30" s="51">
        <f>'C-FCL Real'!P149</f>
        <v>1.3175949299378813</v>
      </c>
      <c r="U30" s="51">
        <f>'C-FCL Real'!Q149</f>
        <v>1.3237876261085892</v>
      </c>
      <c r="V30" s="51">
        <f>'C-FCL Real'!R149</f>
        <v>1.3300094279512995</v>
      </c>
      <c r="W30" s="51">
        <f>'C-FCL Real'!S149</f>
        <v>1.3362604722626705</v>
      </c>
      <c r="X30" s="51">
        <f>'C-FCL Real'!T149</f>
        <v>1.3425408964823049</v>
      </c>
      <c r="Y30" s="51">
        <f>'C-FCL Real'!U149</f>
        <v>1.3488508386957716</v>
      </c>
      <c r="Z30" s="51">
        <f>'C-FCL Real'!V149</f>
        <v>1.3551904376376416</v>
      </c>
      <c r="AA30" s="51">
        <f>'C-FCL Real'!W149</f>
        <v>1.3615598326945384</v>
      </c>
      <c r="AB30" s="51">
        <f>'C-FCL Real'!X149</f>
        <v>1.3679591639082027</v>
      </c>
      <c r="AC30" s="51">
        <f>'C-FCL Real'!Y149</f>
        <v>1.3743885719785711</v>
      </c>
      <c r="AD30" s="51">
        <f>'C-FCL Real'!Z149</f>
        <v>1.3808481982668703</v>
      </c>
      <c r="AE30" s="51">
        <f>'C-FCL Real'!AA149</f>
        <v>1.3873381847987245</v>
      </c>
      <c r="AF30" s="51">
        <f>'C-FCL Real'!AB149</f>
        <v>1.3938586742672785</v>
      </c>
      <c r="AG30" s="51">
        <f>'C-FCL Real'!AC149</f>
        <v>1.4004098100363347</v>
      </c>
      <c r="AH30" s="51">
        <f>'C-FCL Real'!AD149</f>
        <v>1.4069917361435054</v>
      </c>
      <c r="AI30" s="51">
        <f>'C-FCL Real'!AE149</f>
        <v>1.4136045973033797</v>
      </c>
      <c r="AJ30" s="1739">
        <f>'C-FCL Real'!AF149</f>
        <v>1.4202485389107056</v>
      </c>
      <c r="AK30" s="51">
        <f>'C-FCL Real'!AG149</f>
        <v>1.4269237070435858</v>
      </c>
      <c r="AL30" s="51">
        <f>'C-FCL Real'!AH149</f>
        <v>1.4336302484666905</v>
      </c>
      <c r="AM30" s="51">
        <f>'C-FCL Real'!AI149</f>
        <v>1.4403683106344838</v>
      </c>
      <c r="AN30" s="51">
        <f>'C-FCL Real'!AJ149</f>
        <v>1.4471380416944657</v>
      </c>
      <c r="AO30" s="51">
        <f>'C-FCL Real'!AK149</f>
        <v>1.4539395904904295</v>
      </c>
      <c r="AP30" s="51">
        <f>'C-FCL Real'!AL149</f>
        <v>1.4607731065657343</v>
      </c>
      <c r="AQ30" s="51">
        <f>'C-FCL Real'!AM149</f>
        <v>1.4676387401665931</v>
      </c>
      <c r="AR30" s="51">
        <f>'C-FCL Real'!AN149</f>
        <v>1.4745366422453761</v>
      </c>
      <c r="AS30" s="51">
        <f>'C-FCL Real'!AO149</f>
        <v>1.4814669644639291</v>
      </c>
      <c r="AT30" s="51">
        <f>'C-FCL Real'!AP149</f>
        <v>1.4884298591969094</v>
      </c>
      <c r="AU30" s="51">
        <f>'C-FCL Real'!AQ149</f>
        <v>1.4954254795351347</v>
      </c>
      <c r="AV30" s="51">
        <f>'C-FCL Real'!AR149</f>
        <v>1.5024539792889497</v>
      </c>
      <c r="AW30" s="51">
        <f>'C-FCL Real'!AS149</f>
        <v>1.5095155129916078</v>
      </c>
      <c r="AX30" s="51">
        <f>'C-FCL Real'!AT149</f>
        <v>1.5166102359026683</v>
      </c>
      <c r="AY30" s="51">
        <f>'C-FCL Real'!AU149</f>
        <v>1.5237383040114107</v>
      </c>
      <c r="AZ30" s="51">
        <f>'C-FCL Real'!AV149</f>
        <v>1.5308998740402642</v>
      </c>
      <c r="BA30" s="51">
        <f>'C-FCL Real'!AW149</f>
        <v>1.5380951034482533</v>
      </c>
      <c r="BB30" s="51">
        <f>'C-FCL Real'!AX149</f>
        <v>1.5453241504344599</v>
      </c>
      <c r="BC30" s="51">
        <f>'C-FCL Real'!AY149</f>
        <v>1.5525871739415018</v>
      </c>
      <c r="BD30" s="51">
        <f>'C-FCL Real'!AZ149</f>
        <v>1.5598843336590267</v>
      </c>
      <c r="BE30" s="51">
        <f>'C-FCL Real'!BA149</f>
        <v>1.5672157900272239</v>
      </c>
      <c r="BF30" s="51">
        <f>'C-FCL Real'!BB149</f>
        <v>1.5745817042403518</v>
      </c>
      <c r="BG30" s="51">
        <f>'C-FCL Real'!BC149</f>
        <v>1.5819822382502813</v>
      </c>
      <c r="BH30" s="51">
        <f>'C-FCL Real'!BD149</f>
        <v>0</v>
      </c>
    </row>
    <row r="31" spans="1:60" ht="15" customHeight="1" outlineLevel="1" x14ac:dyDescent="0.25">
      <c r="A31" s="1823">
        <f>C31*1000000/$C$16</f>
        <v>5.5327784326356371</v>
      </c>
      <c r="B31" s="1847" t="s">
        <v>1011</v>
      </c>
      <c r="C31" s="1808">
        <f>SUMIF($D$15:$BG$15,1,D31:BG31)</f>
        <v>39.952498025626184</v>
      </c>
      <c r="D31" s="1804">
        <f t="shared" ref="D31:AJ31" si="4">NPV($C$8,D30:D30)</f>
        <v>1.1309759168179991</v>
      </c>
      <c r="E31" s="51">
        <f t="shared" si="4"/>
        <v>1.1362915036270438</v>
      </c>
      <c r="F31" s="51">
        <f t="shared" si="4"/>
        <v>1.1416320736940908</v>
      </c>
      <c r="G31" s="51">
        <f t="shared" si="4"/>
        <v>1.1469977444404529</v>
      </c>
      <c r="H31" s="51">
        <f t="shared" si="4"/>
        <v>1.152388633839323</v>
      </c>
      <c r="I31" s="51">
        <f t="shared" si="4"/>
        <v>1.1578048604183677</v>
      </c>
      <c r="J31" s="51">
        <f t="shared" si="4"/>
        <v>1.1632465432623338</v>
      </c>
      <c r="K31" s="51">
        <f t="shared" si="4"/>
        <v>1.1687138020156669</v>
      </c>
      <c r="L31" s="51">
        <f t="shared" si="4"/>
        <v>1.1742067568851404</v>
      </c>
      <c r="M31" s="51">
        <f t="shared" si="4"/>
        <v>1.1797255286425004</v>
      </c>
      <c r="N31" s="51">
        <f t="shared" si="4"/>
        <v>1.1852702386271201</v>
      </c>
      <c r="O31" s="51">
        <f t="shared" si="4"/>
        <v>1.1908410087486674</v>
      </c>
      <c r="P31" s="51">
        <f t="shared" si="4"/>
        <v>1.196437961489786</v>
      </c>
      <c r="Q31" s="51">
        <f t="shared" si="4"/>
        <v>1.2020612199087881</v>
      </c>
      <c r="R31" s="51">
        <f t="shared" si="4"/>
        <v>1.2077109076423593</v>
      </c>
      <c r="S31" s="51">
        <f t="shared" si="4"/>
        <v>1.196437961489786</v>
      </c>
      <c r="T31" s="51">
        <f t="shared" si="4"/>
        <v>1.2020612199087881</v>
      </c>
      <c r="U31" s="51">
        <f t="shared" si="4"/>
        <v>1.2077109076423593</v>
      </c>
      <c r="V31" s="51">
        <f t="shared" si="4"/>
        <v>1.2133871489082784</v>
      </c>
      <c r="W31" s="51">
        <f t="shared" si="4"/>
        <v>1.2190900685081472</v>
      </c>
      <c r="X31" s="51">
        <f t="shared" si="4"/>
        <v>1.2248197918301353</v>
      </c>
      <c r="Y31" s="51">
        <f t="shared" si="4"/>
        <v>1.2305764448517367</v>
      </c>
      <c r="Z31" s="51">
        <f t="shared" si="4"/>
        <v>1.2363601541425397</v>
      </c>
      <c r="AA31" s="51">
        <f t="shared" si="4"/>
        <v>1.2421710468670097</v>
      </c>
      <c r="AB31" s="51">
        <f t="shared" si="4"/>
        <v>1.2480092507872846</v>
      </c>
      <c r="AC31" s="51">
        <f t="shared" si="4"/>
        <v>1.2538748942659848</v>
      </c>
      <c r="AD31" s="51">
        <f t="shared" si="4"/>
        <v>1.2597681062690347</v>
      </c>
      <c r="AE31" s="51">
        <f t="shared" si="4"/>
        <v>1.2656890163684991</v>
      </c>
      <c r="AF31" s="51">
        <f t="shared" si="4"/>
        <v>1.2716377547454309</v>
      </c>
      <c r="AG31" s="51">
        <f t="shared" si="4"/>
        <v>1.2776144521927346</v>
      </c>
      <c r="AH31" s="51">
        <f t="shared" si="4"/>
        <v>1.2836192401180404</v>
      </c>
      <c r="AI31" s="51">
        <f t="shared" si="4"/>
        <v>1.289652250546595</v>
      </c>
      <c r="AJ31" s="1739">
        <f t="shared" si="4"/>
        <v>1.295713616124164</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customHeight="1" outlineLevel="1" x14ac:dyDescent="0.25">
      <c r="A33" s="1823">
        <f>C33*1000000/$C$16</f>
        <v>-6.6472980362123373</v>
      </c>
      <c r="B33" s="1794" t="s">
        <v>1004</v>
      </c>
      <c r="C33" s="1809">
        <f>SUMIF($D$15:$BG$15,1,D33:BG33)</f>
        <v>-48.000505514732907</v>
      </c>
      <c r="D33" s="1804">
        <f>'C-FCL Real'!C153</f>
        <v>-56.682696165362934</v>
      </c>
      <c r="E33" s="51">
        <f>'C-FCL Real'!D153</f>
        <v>-99.537830129750347</v>
      </c>
      <c r="F33" s="51">
        <f>'C-FCL Real'!E153</f>
        <v>-92.177475274688959</v>
      </c>
      <c r="G33" s="51">
        <f>'C-FCL Real'!F153</f>
        <v>3.1854836909378932</v>
      </c>
      <c r="H33" s="51">
        <f>'C-FCL Real'!G153</f>
        <v>3.4021892875172313</v>
      </c>
      <c r="I33" s="51">
        <f>'C-FCL Real'!H153</f>
        <v>3.6199134004004776</v>
      </c>
      <c r="J33" s="51">
        <f>'C-FCL Real'!I153</f>
        <v>3.8386608166142864</v>
      </c>
      <c r="K33" s="51">
        <f>'C-FCL Real'!J153</f>
        <v>4.0584363456842851</v>
      </c>
      <c r="L33" s="51">
        <f>'C-FCL Real'!K153</f>
        <v>4.2792448197409243</v>
      </c>
      <c r="M33" s="51">
        <f>'C-FCL Real'!L153</f>
        <v>4.5010910936256323</v>
      </c>
      <c r="N33" s="51">
        <f>'C-FCL Real'!M153</f>
        <v>4.7239800449975817</v>
      </c>
      <c r="O33" s="51">
        <f>'C-FCL Real'!N153</f>
        <v>4.9479165744409883</v>
      </c>
      <c r="P33" s="51">
        <f>'C-FCL Real'!O153</f>
        <v>5.1729056055727867</v>
      </c>
      <c r="Q33" s="51">
        <f>'C-FCL Real'!P153</f>
        <v>5.3989520851508885</v>
      </c>
      <c r="R33" s="51">
        <f>'C-FCL Real'!Q153</f>
        <v>5.6260609831830166</v>
      </c>
      <c r="S33" s="51">
        <f>'C-FCL Real'!O153</f>
        <v>5.1729056055727867</v>
      </c>
      <c r="T33" s="51">
        <f>'C-FCL Real'!P153</f>
        <v>5.3989520851508885</v>
      </c>
      <c r="U33" s="51">
        <f>'C-FCL Real'!Q153</f>
        <v>5.6260609831830166</v>
      </c>
      <c r="V33" s="51">
        <f>'C-FCL Real'!R153</f>
        <v>5.8542372930358937</v>
      </c>
      <c r="W33" s="51">
        <f>'C-FCL Real'!S153</f>
        <v>6.0834860315450783</v>
      </c>
      <c r="X33" s="51">
        <f>'C-FCL Real'!T153</f>
        <v>6.3138122391252622</v>
      </c>
      <c r="Y33" s="51">
        <f>'C-FCL Real'!U153</f>
        <v>6.5452209798810728</v>
      </c>
      <c r="Z33" s="51">
        <f>'C-FCL Real'!V153</f>
        <v>6.7777173417184287</v>
      </c>
      <c r="AA33" s="51">
        <f>'C-FCL Real'!W153</f>
        <v>7.0113064364564224</v>
      </c>
      <c r="AB33" s="51">
        <f>'C-FCL Real'!X153</f>
        <v>7.2459933999396924</v>
      </c>
      <c r="AC33" s="51">
        <f>'C-FCL Real'!Y153</f>
        <v>7.4817833921513213</v>
      </c>
      <c r="AD33" s="51">
        <f>'C-FCL Real'!Z153</f>
        <v>7.718681597326345</v>
      </c>
      <c r="AE33" s="51">
        <f>'C-FCL Real'!AA153</f>
        <v>7.9566932240656953</v>
      </c>
      <c r="AF33" s="51">
        <f>'C-FCL Real'!AB153</f>
        <v>8.1958235054507185</v>
      </c>
      <c r="AG33" s="51">
        <f>'C-FCL Real'!AC153</f>
        <v>8.4360776991582682</v>
      </c>
      <c r="AH33" s="51">
        <f>'C-FCL Real'!AD153</f>
        <v>8.6774610875762193</v>
      </c>
      <c r="AI33" s="51">
        <f>'C-FCL Real'!AE153</f>
        <v>8.9199789779197545</v>
      </c>
      <c r="AJ33" s="1739">
        <f>'C-FCL Real'!AF153</f>
        <v>9.163636702347894</v>
      </c>
      <c r="AK33" s="51">
        <f>'C-FCL Real'!AG153</f>
        <v>9.4084396180808483</v>
      </c>
      <c r="AL33" s="51">
        <f>'C-FCL Real'!AH153</f>
        <v>9.6543931075177341</v>
      </c>
      <c r="AM33" s="51">
        <f>'C-FCL Real'!AI153</f>
        <v>9.901502578354993</v>
      </c>
      <c r="AN33" s="51">
        <f>'C-FCL Real'!AJ153</f>
        <v>10.149773463705174</v>
      </c>
      <c r="AO33" s="51">
        <f>'C-FCL Real'!AK153</f>
        <v>10.399211222216501</v>
      </c>
      <c r="AP33" s="51">
        <f>'C-FCL Real'!AL153</f>
        <v>10.649821338192837</v>
      </c>
      <c r="AQ33" s="51">
        <f>'C-FCL Real'!AM153</f>
        <v>10.901609321714254</v>
      </c>
      <c r="AR33" s="51">
        <f>'C-FCL Real'!AN153</f>
        <v>11.154580708758239</v>
      </c>
      <c r="AS33" s="51">
        <f>'C-FCL Real'!AO153</f>
        <v>11.408741061321315</v>
      </c>
      <c r="AT33" s="51">
        <f>'C-FCL Real'!AP153</f>
        <v>11.664095967541442</v>
      </c>
      <c r="AU33" s="51">
        <f>'C-FCL Real'!AQ153</f>
        <v>11.920651041820804</v>
      </c>
      <c r="AV33" s="51">
        <f>'C-FCL Real'!AR153</f>
        <v>12.178411924949273</v>
      </c>
      <c r="AW33" s="51">
        <f>'C-FCL Real'!AS153</f>
        <v>12.43738428422845</v>
      </c>
      <c r="AX33" s="51">
        <f>'C-FCL Real'!AT153</f>
        <v>12.697573813596243</v>
      </c>
      <c r="AY33" s="51">
        <f>'C-FCL Real'!AU153</f>
        <v>12.958986233752064</v>
      </c>
      <c r="AZ33" s="51">
        <f>'C-FCL Real'!AV153</f>
        <v>13.221627292282619</v>
      </c>
      <c r="BA33" s="51">
        <f>'C-FCL Real'!AW153</f>
        <v>13.485502763788261</v>
      </c>
      <c r="BB33" s="51">
        <f>'C-FCL Real'!AX153</f>
        <v>13.750618450009981</v>
      </c>
      <c r="BC33" s="51">
        <f>'C-FCL Real'!AY153</f>
        <v>14.016980179956946</v>
      </c>
      <c r="BD33" s="51">
        <f>'C-FCL Real'!AZ153</f>
        <v>14.284593810034671</v>
      </c>
      <c r="BE33" s="51">
        <f>'C-FCL Real'!BA153</f>
        <v>14.553465224173742</v>
      </c>
      <c r="BF33" s="51">
        <f>'C-FCL Real'!BB153</f>
        <v>14.823600333959284</v>
      </c>
      <c r="BG33" s="51">
        <f>'C-FCL Real'!BC153</f>
        <v>15.095005078760806</v>
      </c>
      <c r="BH33" s="51">
        <f>'C-FCL Real'!BD153</f>
        <v>0</v>
      </c>
    </row>
    <row r="34" spans="1:60" ht="15" customHeight="1" outlineLevel="1" x14ac:dyDescent="0.25">
      <c r="A34" s="1823">
        <f>C34*1000000/$C$16</f>
        <v>-8.4728433901871245</v>
      </c>
      <c r="B34" s="1847" t="s">
        <v>1012</v>
      </c>
      <c r="C34" s="1808">
        <f>SUMIF($D$15:$BG$15,1,D34:BG34)</f>
        <v>-61.182869138794537</v>
      </c>
      <c r="D34" s="1804">
        <f t="shared" ref="D34:AJ34" si="5">NPV($C$8,D33:D33)</f>
        <v>-51.712456804510978</v>
      </c>
      <c r="E34" s="51">
        <f t="shared" si="5"/>
        <v>-90.809825382739149</v>
      </c>
      <c r="F34" s="51">
        <f t="shared" si="5"/>
        <v>-84.094865469790946</v>
      </c>
      <c r="G34" s="51">
        <f t="shared" si="5"/>
        <v>2.9061635898286888</v>
      </c>
      <c r="H34" s="51">
        <f t="shared" si="5"/>
        <v>3.1038672906144087</v>
      </c>
      <c r="I34" s="51">
        <f t="shared" si="5"/>
        <v>3.3025001987938087</v>
      </c>
      <c r="J34" s="51">
        <f t="shared" si="5"/>
        <v>3.5020666816416619</v>
      </c>
      <c r="K34" s="51">
        <f t="shared" si="5"/>
        <v>3.7025711269588859</v>
      </c>
      <c r="L34" s="51">
        <f t="shared" si="5"/>
        <v>3.9040179431691118</v>
      </c>
      <c r="M34" s="51">
        <f t="shared" si="5"/>
        <v>4.1064115594155277</v>
      </c>
      <c r="N34" s="51">
        <f t="shared" si="5"/>
        <v>4.3097564256582874</v>
      </c>
      <c r="O34" s="51">
        <f t="shared" si="5"/>
        <v>4.5140570127723958</v>
      </c>
      <c r="P34" s="51">
        <f t="shared" si="5"/>
        <v>4.7193178126459472</v>
      </c>
      <c r="Q34" s="51">
        <f t="shared" si="5"/>
        <v>4.9255433382788905</v>
      </c>
      <c r="R34" s="51">
        <f t="shared" si="5"/>
        <v>5.1327381238823158</v>
      </c>
      <c r="S34" s="51">
        <f t="shared" si="5"/>
        <v>4.7193178126459472</v>
      </c>
      <c r="T34" s="51">
        <f t="shared" si="5"/>
        <v>4.9255433382788905</v>
      </c>
      <c r="U34" s="51">
        <f t="shared" si="5"/>
        <v>5.1327381238823158</v>
      </c>
      <c r="V34" s="51">
        <f t="shared" si="5"/>
        <v>5.3409067249780762</v>
      </c>
      <c r="W34" s="51">
        <f t="shared" si="5"/>
        <v>5.5500537184989858</v>
      </c>
      <c r="X34" s="51">
        <f t="shared" si="5"/>
        <v>5.7601837028894494</v>
      </c>
      <c r="Y34" s="51">
        <f t="shared" si="5"/>
        <v>5.9713012982065479</v>
      </c>
      <c r="Z34" s="51">
        <f t="shared" si="5"/>
        <v>6.1834111462216299</v>
      </c>
      <c r="AA34" s="51">
        <f t="shared" si="5"/>
        <v>6.3965179105223848</v>
      </c>
      <c r="AB34" s="51">
        <f t="shared" si="5"/>
        <v>6.6106262766153607</v>
      </c>
      <c r="AC34" s="51">
        <f t="shared" si="5"/>
        <v>6.825740952028962</v>
      </c>
      <c r="AD34" s="51">
        <f t="shared" si="5"/>
        <v>7.0418666664170075</v>
      </c>
      <c r="AE34" s="51">
        <f t="shared" si="5"/>
        <v>7.2590081716626811</v>
      </c>
      <c r="AF34" s="51">
        <f t="shared" si="5"/>
        <v>7.4771702419830062</v>
      </c>
      <c r="AG34" s="51">
        <f t="shared" si="5"/>
        <v>7.6963576740338535</v>
      </c>
      <c r="AH34" s="51">
        <f t="shared" si="5"/>
        <v>7.9165752870153172</v>
      </c>
      <c r="AI34" s="51">
        <f t="shared" si="5"/>
        <v>8.1378279227778112</v>
      </c>
      <c r="AJ34" s="1739">
        <f t="shared" si="5"/>
        <v>8.3601204459283807</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customHeight="1" outlineLevel="1" x14ac:dyDescent="0.25">
      <c r="A36" s="1823">
        <f>C36*1000000/$C$16</f>
        <v>9.4356222922934609</v>
      </c>
      <c r="B36" s="1795" t="s">
        <v>1014</v>
      </c>
      <c r="C36" s="1809">
        <f>SUMIF($D$15:$BG$15,1,D36:BG36)</f>
        <v>68.135148658723594</v>
      </c>
      <c r="D36" s="1804">
        <f>IF(D33&gt;0,D33*0.34,0)</f>
        <v>0</v>
      </c>
      <c r="E36" s="51">
        <f t="shared" ref="E36:BG36" si="6">IF(E33&gt;0,E33*0.34,0)</f>
        <v>0</v>
      </c>
      <c r="F36" s="51">
        <f t="shared" si="6"/>
        <v>0</v>
      </c>
      <c r="G36" s="51">
        <f t="shared" si="6"/>
        <v>1.0830644549188837</v>
      </c>
      <c r="H36" s="51">
        <f t="shared" si="6"/>
        <v>1.1567443577558587</v>
      </c>
      <c r="I36" s="51">
        <f t="shared" si="6"/>
        <v>1.2307705561361624</v>
      </c>
      <c r="J36" s="51">
        <f t="shared" si="6"/>
        <v>1.3051446776488576</v>
      </c>
      <c r="K36" s="51">
        <f t="shared" si="6"/>
        <v>1.3798683575326571</v>
      </c>
      <c r="L36" s="51">
        <f t="shared" si="6"/>
        <v>1.4549432387119143</v>
      </c>
      <c r="M36" s="51">
        <f t="shared" si="6"/>
        <v>1.5303709718327152</v>
      </c>
      <c r="N36" s="51">
        <f t="shared" si="6"/>
        <v>1.606153215299178</v>
      </c>
      <c r="O36" s="51">
        <f t="shared" si="6"/>
        <v>1.6822916353099362</v>
      </c>
      <c r="P36" s="51">
        <f>IF(P33&gt;0,P33*0.34,0)</f>
        <v>1.7587879058947475</v>
      </c>
      <c r="Q36" s="51">
        <f>IF(Q33&gt;0,Q33*0.34,0)</f>
        <v>1.8356437089513022</v>
      </c>
      <c r="R36" s="51">
        <f>IF(R33&gt;0,R33*0.34,0)</f>
        <v>1.9128607342822257</v>
      </c>
      <c r="S36" s="51">
        <f t="shared" si="6"/>
        <v>1.7587879058947475</v>
      </c>
      <c r="T36" s="51">
        <f t="shared" si="6"/>
        <v>1.8356437089513022</v>
      </c>
      <c r="U36" s="51">
        <f t="shared" si="6"/>
        <v>1.9128607342822257</v>
      </c>
      <c r="V36" s="51">
        <f t="shared" si="6"/>
        <v>1.9904406796322041</v>
      </c>
      <c r="W36" s="51">
        <f t="shared" si="6"/>
        <v>2.0683852507253269</v>
      </c>
      <c r="X36" s="51">
        <f t="shared" si="6"/>
        <v>2.1466961613025894</v>
      </c>
      <c r="Y36" s="51">
        <f t="shared" si="6"/>
        <v>2.2253751331595648</v>
      </c>
      <c r="Z36" s="51">
        <f t="shared" si="6"/>
        <v>2.3044238961842658</v>
      </c>
      <c r="AA36" s="51">
        <f t="shared" si="6"/>
        <v>2.3838441883951837</v>
      </c>
      <c r="AB36" s="51">
        <f t="shared" si="6"/>
        <v>2.4636377559794957</v>
      </c>
      <c r="AC36" s="51">
        <f t="shared" si="6"/>
        <v>2.5438063533314494</v>
      </c>
      <c r="AD36" s="51">
        <f t="shared" si="6"/>
        <v>2.6243517430909575</v>
      </c>
      <c r="AE36" s="51">
        <f t="shared" si="6"/>
        <v>2.7052756961823365</v>
      </c>
      <c r="AF36" s="51">
        <f t="shared" si="6"/>
        <v>2.7865799918532446</v>
      </c>
      <c r="AG36" s="51">
        <f t="shared" si="6"/>
        <v>2.8682664177138113</v>
      </c>
      <c r="AH36" s="51">
        <f t="shared" si="6"/>
        <v>2.9503367697759146</v>
      </c>
      <c r="AI36" s="51">
        <f t="shared" si="6"/>
        <v>3.0327928524927166</v>
      </c>
      <c r="AJ36" s="1739">
        <f t="shared" si="6"/>
        <v>3.115636478798284</v>
      </c>
      <c r="AK36" s="51">
        <f t="shared" si="6"/>
        <v>3.1988694701474887</v>
      </c>
      <c r="AL36" s="51">
        <f t="shared" si="6"/>
        <v>3.2824936565560296</v>
      </c>
      <c r="AM36" s="51">
        <f t="shared" si="6"/>
        <v>3.3665108766406977</v>
      </c>
      <c r="AN36" s="51">
        <f t="shared" si="6"/>
        <v>3.4509229776597592</v>
      </c>
      <c r="AO36" s="51">
        <f t="shared" si="6"/>
        <v>3.5357318155536106</v>
      </c>
      <c r="AP36" s="51">
        <f t="shared" si="6"/>
        <v>3.6209392549855646</v>
      </c>
      <c r="AQ36" s="51">
        <f t="shared" si="6"/>
        <v>3.7065471693828465</v>
      </c>
      <c r="AR36" s="51">
        <f t="shared" si="6"/>
        <v>3.7925574409778013</v>
      </c>
      <c r="AS36" s="51">
        <f t="shared" si="6"/>
        <v>3.8789719608492472</v>
      </c>
      <c r="AT36" s="51">
        <f t="shared" si="6"/>
        <v>3.9657926289640906</v>
      </c>
      <c r="AU36" s="51">
        <f t="shared" si="6"/>
        <v>4.0530213542190738</v>
      </c>
      <c r="AV36" s="51">
        <f t="shared" si="6"/>
        <v>4.140660054482753</v>
      </c>
      <c r="AW36" s="51">
        <f t="shared" si="6"/>
        <v>4.2287106566376735</v>
      </c>
      <c r="AX36" s="51">
        <f t="shared" si="6"/>
        <v>4.3171750966227229</v>
      </c>
      <c r="AY36" s="51">
        <f t="shared" si="6"/>
        <v>4.4060553194757022</v>
      </c>
      <c r="AZ36" s="51">
        <f t="shared" si="6"/>
        <v>4.4953532793760909</v>
      </c>
      <c r="BA36" s="51">
        <f t="shared" si="6"/>
        <v>4.5850709396880092</v>
      </c>
      <c r="BB36" s="51">
        <f t="shared" si="6"/>
        <v>4.675210273003394</v>
      </c>
      <c r="BC36" s="51">
        <f t="shared" si="6"/>
        <v>4.7657732611853616</v>
      </c>
      <c r="BD36" s="51">
        <f t="shared" si="6"/>
        <v>4.8567618954117888</v>
      </c>
      <c r="BE36" s="51">
        <f t="shared" si="6"/>
        <v>4.9481781762190726</v>
      </c>
      <c r="BF36" s="51">
        <f t="shared" si="6"/>
        <v>5.0400241135461572</v>
      </c>
      <c r="BG36" s="51">
        <f t="shared" si="6"/>
        <v>5.1323017267786746</v>
      </c>
      <c r="BH36" s="51">
        <f>BH33*0.34</f>
        <v>0</v>
      </c>
    </row>
    <row r="37" spans="1:60" ht="15" customHeight="1" outlineLevel="1" x14ac:dyDescent="0.25">
      <c r="A37" s="1823">
        <f>C37*1000000/$C$16</f>
        <v>7.7893955614460122</v>
      </c>
      <c r="B37" s="1847" t="s">
        <v>1013</v>
      </c>
      <c r="C37" s="1808">
        <f>SUMIF($D$15:$BG$15,1,D37:BG37)</f>
        <v>56.247654696203831</v>
      </c>
      <c r="D37" s="1804">
        <f t="shared" ref="D37:AJ37" si="7">NPV($C$8,D36:D36)</f>
        <v>0</v>
      </c>
      <c r="E37" s="51">
        <f t="shared" si="7"/>
        <v>0</v>
      </c>
      <c r="F37" s="51">
        <f t="shared" si="7"/>
        <v>0</v>
      </c>
      <c r="G37" s="51">
        <f t="shared" si="7"/>
        <v>0.98809562054175415</v>
      </c>
      <c r="H37" s="51">
        <f t="shared" si="7"/>
        <v>1.0553148788088991</v>
      </c>
      <c r="I37" s="51">
        <f t="shared" si="7"/>
        <v>1.1228500675898949</v>
      </c>
      <c r="J37" s="51">
        <f t="shared" si="7"/>
        <v>1.1907026717581652</v>
      </c>
      <c r="K37" s="51">
        <f t="shared" si="7"/>
        <v>1.2588741831660215</v>
      </c>
      <c r="L37" s="51">
        <f t="shared" si="7"/>
        <v>1.3273661006774982</v>
      </c>
      <c r="M37" s="51">
        <f t="shared" si="7"/>
        <v>1.3961799302012798</v>
      </c>
      <c r="N37" s="51">
        <f t="shared" si="7"/>
        <v>1.4653171847238178</v>
      </c>
      <c r="O37" s="51">
        <f t="shared" si="7"/>
        <v>1.5347793843426147</v>
      </c>
      <c r="P37" s="51">
        <f t="shared" si="7"/>
        <v>1.6045680562996221</v>
      </c>
      <c r="Q37" s="51">
        <f t="shared" si="7"/>
        <v>1.6746847350148228</v>
      </c>
      <c r="R37" s="51">
        <f t="shared" si="7"/>
        <v>1.7451309621199875</v>
      </c>
      <c r="S37" s="51">
        <f t="shared" si="7"/>
        <v>1.6045680562996221</v>
      </c>
      <c r="T37" s="51">
        <f t="shared" si="7"/>
        <v>1.6746847350148228</v>
      </c>
      <c r="U37" s="51">
        <f t="shared" si="7"/>
        <v>1.7451309621199875</v>
      </c>
      <c r="V37" s="51">
        <f t="shared" si="7"/>
        <v>1.8159082864925462</v>
      </c>
      <c r="W37" s="51">
        <f t="shared" si="7"/>
        <v>1.8870182642896554</v>
      </c>
      <c r="X37" s="51">
        <f t="shared" si="7"/>
        <v>1.9584624589824129</v>
      </c>
      <c r="Y37" s="51">
        <f t="shared" si="7"/>
        <v>2.030242441390226</v>
      </c>
      <c r="Z37" s="51">
        <f t="shared" si="7"/>
        <v>2.1023597897153543</v>
      </c>
      <c r="AA37" s="51">
        <f t="shared" si="7"/>
        <v>2.174816089577611</v>
      </c>
      <c r="AB37" s="51">
        <f t="shared" si="7"/>
        <v>2.247612934049223</v>
      </c>
      <c r="AC37" s="51">
        <f t="shared" si="7"/>
        <v>2.3207519236898473</v>
      </c>
      <c r="AD37" s="51">
        <f t="shared" si="7"/>
        <v>2.3942346665817831</v>
      </c>
      <c r="AE37" s="51">
        <f t="shared" si="7"/>
        <v>2.4680627783653115</v>
      </c>
      <c r="AF37" s="51">
        <f t="shared" si="7"/>
        <v>2.5422378822742226</v>
      </c>
      <c r="AG37" s="51">
        <f t="shared" si="7"/>
        <v>2.61676160917151</v>
      </c>
      <c r="AH37" s="51">
        <f t="shared" si="7"/>
        <v>2.6916355975852078</v>
      </c>
      <c r="AI37" s="51">
        <f t="shared" si="7"/>
        <v>2.766861493744456</v>
      </c>
      <c r="AJ37" s="1739">
        <f t="shared" si="7"/>
        <v>2.8424409516156492</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customHeight="1" outlineLevel="1" x14ac:dyDescent="0.25">
      <c r="A39" s="1823">
        <f>C39*1000000/$C$16</f>
        <v>-16.082920328505804</v>
      </c>
      <c r="B39" s="1794" t="s">
        <v>1002</v>
      </c>
      <c r="C39" s="1809">
        <f>SUMIF($D$15:$BG$15,1,D39:BG39)</f>
        <v>-116.13565417345654</v>
      </c>
      <c r="D39" s="1804">
        <f>'C-FCL Real'!C156</f>
        <v>-56.682696165362934</v>
      </c>
      <c r="E39" s="51">
        <f>'C-FCL Real'!D156</f>
        <v>-99.537830129750347</v>
      </c>
      <c r="F39" s="51">
        <f>'C-FCL Real'!E156</f>
        <v>-92.177475274688959</v>
      </c>
      <c r="G39" s="51">
        <f>'C-FCL Real'!F156</f>
        <v>2.1024192360190095</v>
      </c>
      <c r="H39" s="51">
        <f>'C-FCL Real'!G156</f>
        <v>2.2454449297613728</v>
      </c>
      <c r="I39" s="51">
        <f>'C-FCL Real'!H156</f>
        <v>2.3891428442643154</v>
      </c>
      <c r="J39" s="51">
        <f>'C-FCL Real'!I156</f>
        <v>2.533516138965429</v>
      </c>
      <c r="K39" s="51">
        <f>'C-FCL Real'!J156</f>
        <v>2.6785679881516282</v>
      </c>
      <c r="L39" s="51">
        <f>'C-FCL Real'!K156</f>
        <v>2.82430158102901</v>
      </c>
      <c r="M39" s="51">
        <f>'C-FCL Real'!L156</f>
        <v>2.9707201217929176</v>
      </c>
      <c r="N39" s="51">
        <f>'C-FCL Real'!M156</f>
        <v>3.1178268296984042</v>
      </c>
      <c r="O39" s="51">
        <f>'C-FCL Real'!N156</f>
        <v>3.2656249391310523</v>
      </c>
      <c r="P39" s="51">
        <f>'C-FCL Real'!O156</f>
        <v>3.4141176996780396</v>
      </c>
      <c r="Q39" s="51">
        <f>'C-FCL Real'!P156</f>
        <v>3.5633083761995867</v>
      </c>
      <c r="R39" s="51">
        <f>'C-FCL Real'!Q156</f>
        <v>3.7132002489007911</v>
      </c>
      <c r="S39" s="51">
        <f>'C-FCL Real'!O156</f>
        <v>3.4141176996780396</v>
      </c>
      <c r="T39" s="51">
        <f>'C-FCL Real'!P156</f>
        <v>3.5633083761995867</v>
      </c>
      <c r="U39" s="51">
        <f>'C-FCL Real'!Q156</f>
        <v>3.7132002489007911</v>
      </c>
      <c r="V39" s="51">
        <f>'C-FCL Real'!R156</f>
        <v>3.8637966134036899</v>
      </c>
      <c r="W39" s="51">
        <f>'C-FCL Real'!S156</f>
        <v>4.0151007808197514</v>
      </c>
      <c r="X39" s="51">
        <f>'C-FCL Real'!T156</f>
        <v>4.1671160778226737</v>
      </c>
      <c r="Y39" s="51">
        <f>'C-FCL Real'!U156</f>
        <v>4.319845846721508</v>
      </c>
      <c r="Z39" s="51">
        <f>'C-FCL Real'!V156</f>
        <v>4.4732934455341633</v>
      </c>
      <c r="AA39" s="51">
        <f>'C-FCL Real'!W156</f>
        <v>4.6274622480612386</v>
      </c>
      <c r="AB39" s="51">
        <f>'C-FCL Real'!X156</f>
        <v>4.7823556439601971</v>
      </c>
      <c r="AC39" s="51">
        <f>'C-FCL Real'!Y156</f>
        <v>4.9379770388198727</v>
      </c>
      <c r="AD39" s="51">
        <f>'C-FCL Real'!Z156</f>
        <v>5.0943298542353883</v>
      </c>
      <c r="AE39" s="51">
        <f>'C-FCL Real'!AA156</f>
        <v>5.2514175278833592</v>
      </c>
      <c r="AF39" s="51">
        <f>'C-FCL Real'!AB156</f>
        <v>5.4092435135974748</v>
      </c>
      <c r="AG39" s="51">
        <f>'C-FCL Real'!AC156</f>
        <v>5.5678112814444569</v>
      </c>
      <c r="AH39" s="51">
        <f>'C-FCL Real'!AD156</f>
        <v>5.7271243178003051</v>
      </c>
      <c r="AI39" s="51">
        <f>'C-FCL Real'!AE156</f>
        <v>5.8871861254270383</v>
      </c>
      <c r="AJ39" s="1739">
        <f>'C-FCL Real'!AF156</f>
        <v>6.04800022354961</v>
      </c>
      <c r="AK39" s="51">
        <f>'C-FCL Real'!AG156</f>
        <v>6.20957014793336</v>
      </c>
      <c r="AL39" s="51">
        <f>'C-FCL Real'!AH156</f>
        <v>6.3718994509617044</v>
      </c>
      <c r="AM39" s="51">
        <f>'C-FCL Real'!AI156</f>
        <v>6.5349917017142953</v>
      </c>
      <c r="AN39" s="51">
        <f>'C-FCL Real'!AJ156</f>
        <v>6.6988504860454148</v>
      </c>
      <c r="AO39" s="51">
        <f>'C-FCL Real'!AK156</f>
        <v>6.8634794066628908</v>
      </c>
      <c r="AP39" s="51">
        <f>'C-FCL Real'!AL156</f>
        <v>7.0288820832072725</v>
      </c>
      <c r="AQ39" s="51">
        <f>'C-FCL Real'!AM156</f>
        <v>7.195062152331408</v>
      </c>
      <c r="AR39" s="51">
        <f>'C-FCL Real'!AN156</f>
        <v>7.3620232677804385</v>
      </c>
      <c r="AS39" s="51">
        <f>'C-FCL Real'!AO156</f>
        <v>7.5297691004720679</v>
      </c>
      <c r="AT39" s="51">
        <f>'C-FCL Real'!AP156</f>
        <v>7.6983033385773521</v>
      </c>
      <c r="AU39" s="51">
        <f>'C-FCL Real'!AQ156</f>
        <v>7.8676296876017311</v>
      </c>
      <c r="AV39" s="51">
        <f>'C-FCL Real'!AR156</f>
        <v>8.0377518704665203</v>
      </c>
      <c r="AW39" s="51">
        <f>'C-FCL Real'!AS156</f>
        <v>8.2086736275907768</v>
      </c>
      <c r="AX39" s="51">
        <f>'C-FCL Real'!AT156</f>
        <v>8.3803987169735201</v>
      </c>
      <c r="AY39" s="51">
        <f>'C-FCL Real'!AU156</f>
        <v>8.552930914276363</v>
      </c>
      <c r="AZ39" s="51">
        <f>'C-FCL Real'!AV156</f>
        <v>8.7262740129065293</v>
      </c>
      <c r="BA39" s="51">
        <f>'C-FCL Real'!AW156</f>
        <v>8.9004318241002522</v>
      </c>
      <c r="BB39" s="51">
        <f>'C-FCL Real'!AX156</f>
        <v>9.0754081770065884</v>
      </c>
      <c r="BC39" s="51">
        <f>'C-FCL Real'!AY156</f>
        <v>9.2512069187715849</v>
      </c>
      <c r="BD39" s="51">
        <f>'C-FCL Real'!AZ156</f>
        <v>9.4278319146228835</v>
      </c>
      <c r="BE39" s="51">
        <f>'C-FCL Real'!BA156</f>
        <v>9.6052870479546701</v>
      </c>
      <c r="BF39" s="51">
        <f>'C-FCL Real'!BB156</f>
        <v>9.7835762204131278</v>
      </c>
      <c r="BG39" s="51">
        <f>'C-FCL Real'!BC156</f>
        <v>9.9627033519821335</v>
      </c>
      <c r="BH39" s="51">
        <f>'C-FCL Real'!BD156</f>
        <v>0</v>
      </c>
    </row>
    <row r="40" spans="1:60" ht="15" customHeight="1" outlineLevel="1" x14ac:dyDescent="0.25">
      <c r="A40" s="1823">
        <f>C40*1000000/$C$16</f>
        <v>-15.477716189057924</v>
      </c>
      <c r="B40" s="1847" t="s">
        <v>1015</v>
      </c>
      <c r="C40" s="1808">
        <f>SUMIF($D$15:$BG$15,1,D40:BG40)</f>
        <v>-111.76544172399942</v>
      </c>
      <c r="D40" s="1804">
        <f t="shared" ref="D40:AK40" si="8">NPV($C$8,D39:D39)</f>
        <v>-51.712456804510978</v>
      </c>
      <c r="E40" s="51">
        <f t="shared" si="8"/>
        <v>-90.809825382739149</v>
      </c>
      <c r="F40" s="51">
        <f t="shared" si="8"/>
        <v>-84.094865469790946</v>
      </c>
      <c r="G40" s="51">
        <f t="shared" si="8"/>
        <v>1.9180679692869345</v>
      </c>
      <c r="H40" s="51">
        <f t="shared" si="8"/>
        <v>2.0485524118055101</v>
      </c>
      <c r="I40" s="51">
        <f t="shared" si="8"/>
        <v>2.179650131203914</v>
      </c>
      <c r="J40" s="51">
        <f t="shared" si="8"/>
        <v>2.3113640098834969</v>
      </c>
      <c r="K40" s="51">
        <f t="shared" si="8"/>
        <v>2.4436969437928648</v>
      </c>
      <c r="L40" s="51">
        <f t="shared" si="8"/>
        <v>2.5766518424916138</v>
      </c>
      <c r="M40" s="51">
        <f t="shared" si="8"/>
        <v>2.7102316292142485</v>
      </c>
      <c r="N40" s="51">
        <f t="shared" si="8"/>
        <v>2.8444392409344696</v>
      </c>
      <c r="O40" s="51">
        <f t="shared" si="8"/>
        <v>2.9792776284297813</v>
      </c>
      <c r="P40" s="51">
        <f t="shared" si="8"/>
        <v>3.1147497563463253</v>
      </c>
      <c r="Q40" s="51">
        <f t="shared" si="8"/>
        <v>3.2508586032640676</v>
      </c>
      <c r="R40" s="51">
        <f t="shared" si="8"/>
        <v>3.3876071617623289</v>
      </c>
      <c r="S40" s="51">
        <f t="shared" si="8"/>
        <v>3.1147497563463253</v>
      </c>
      <c r="T40" s="51">
        <f t="shared" si="8"/>
        <v>3.2508586032640676</v>
      </c>
      <c r="U40" s="51">
        <f t="shared" si="8"/>
        <v>3.3876071617623289</v>
      </c>
      <c r="V40" s="51">
        <f t="shared" si="8"/>
        <v>3.5249984384855306</v>
      </c>
      <c r="W40" s="51">
        <f t="shared" si="8"/>
        <v>3.6630354542093304</v>
      </c>
      <c r="X40" s="51">
        <f t="shared" si="8"/>
        <v>3.8017212439070369</v>
      </c>
      <c r="Y40" s="51">
        <f t="shared" si="8"/>
        <v>3.9410588568163214</v>
      </c>
      <c r="Z40" s="51">
        <f t="shared" si="8"/>
        <v>4.0810513565062756</v>
      </c>
      <c r="AA40" s="51">
        <f t="shared" si="8"/>
        <v>4.2217018209447739</v>
      </c>
      <c r="AB40" s="51">
        <f t="shared" si="8"/>
        <v>4.3630133425661386</v>
      </c>
      <c r="AC40" s="51">
        <f t="shared" si="8"/>
        <v>4.5049890283391161</v>
      </c>
      <c r="AD40" s="51">
        <f t="shared" si="8"/>
        <v>4.6476319998352258</v>
      </c>
      <c r="AE40" s="51">
        <f t="shared" si="8"/>
        <v>4.7909453932973696</v>
      </c>
      <c r="AF40" s="51">
        <f t="shared" si="8"/>
        <v>4.9349323597087853</v>
      </c>
      <c r="AG40" s="51">
        <f t="shared" si="8"/>
        <v>5.0795960648623435</v>
      </c>
      <c r="AH40" s="51">
        <f t="shared" si="8"/>
        <v>5.2249396894301094</v>
      </c>
      <c r="AI40" s="51">
        <f t="shared" si="8"/>
        <v>5.3709664290333556</v>
      </c>
      <c r="AJ40" s="1739">
        <f t="shared" si="8"/>
        <v>5.5176794943127314</v>
      </c>
      <c r="AK40" s="51">
        <f t="shared" si="8"/>
        <v>5.6650821109989211</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customHeight="1" outlineLevel="1" x14ac:dyDescent="0.25">
      <c r="A42" s="1823">
        <f>A24+A27+A30</f>
        <v>236.93725512497784</v>
      </c>
      <c r="B42" s="1793" t="s">
        <v>1003</v>
      </c>
      <c r="C42" s="1810"/>
      <c r="D42" s="1804">
        <f>'C-FCL Real'!C157</f>
        <v>-56.682696165362934</v>
      </c>
      <c r="E42" s="51">
        <f>'C-FCL Real'!D157</f>
        <v>-156.22052629511327</v>
      </c>
      <c r="F42" s="51">
        <f>'C-FCL Real'!E157</f>
        <v>-248.39800156980223</v>
      </c>
      <c r="G42" s="51">
        <f>'C-FCL Real'!F157</f>
        <v>-246.29558233378322</v>
      </c>
      <c r="H42" s="51">
        <f>'C-FCL Real'!G157</f>
        <v>-244.05013740402185</v>
      </c>
      <c r="I42" s="51">
        <f>'C-FCL Real'!H157</f>
        <v>-241.66099455975754</v>
      </c>
      <c r="J42" s="51">
        <f>'C-FCL Real'!I157</f>
        <v>-239.1274784207921</v>
      </c>
      <c r="K42" s="51">
        <f>'C-FCL Real'!J157</f>
        <v>-236.44891043264047</v>
      </c>
      <c r="L42" s="51">
        <f>'C-FCL Real'!K157</f>
        <v>-233.62460885161147</v>
      </c>
      <c r="M42" s="51">
        <f>'C-FCL Real'!L157</f>
        <v>-230.65388872981856</v>
      </c>
      <c r="N42" s="51">
        <f>'C-FCL Real'!M157</f>
        <v>-227.53606190012016</v>
      </c>
      <c r="O42" s="51">
        <f>'C-FCL Real'!N157</f>
        <v>-224.27043696098912</v>
      </c>
      <c r="P42" s="51">
        <f>'C-FCL Real'!O157</f>
        <v>-220.85631926131109</v>
      </c>
      <c r="Q42" s="51">
        <f>'C-FCL Real'!P157</f>
        <v>-217.2930108851115</v>
      </c>
      <c r="R42" s="51">
        <f>'C-FCL Real'!Q157</f>
        <v>-213.57981063621071</v>
      </c>
      <c r="S42" s="51">
        <f>'C-FCL Real'!O157</f>
        <v>-220.85631926131109</v>
      </c>
      <c r="T42" s="51">
        <f>'C-FCL Real'!P157</f>
        <v>-217.2930108851115</v>
      </c>
      <c r="U42" s="51">
        <f>'C-FCL Real'!Q157</f>
        <v>-213.57981063621071</v>
      </c>
      <c r="V42" s="51">
        <f>'C-FCL Real'!R157</f>
        <v>-209.71601402280703</v>
      </c>
      <c r="W42" s="51">
        <f>'C-FCL Real'!S157</f>
        <v>-205.70091324198728</v>
      </c>
      <c r="X42" s="51">
        <f>'C-FCL Real'!T157</f>
        <v>-201.53379716416461</v>
      </c>
      <c r="Y42" s="51">
        <f>'C-FCL Real'!U157</f>
        <v>-197.2139513174431</v>
      </c>
      <c r="Z42" s="51">
        <f>'C-FCL Real'!V157</f>
        <v>-192.74065787190895</v>
      </c>
      <c r="AA42" s="51">
        <f>'C-FCL Real'!W157</f>
        <v>-188.1131956238477</v>
      </c>
      <c r="AB42" s="51">
        <f>'C-FCL Real'!X157</f>
        <v>-183.33083997988751</v>
      </c>
      <c r="AC42" s="51">
        <f>'C-FCL Real'!Y157</f>
        <v>-178.39286294106765</v>
      </c>
      <c r="AD42" s="51">
        <f>'C-FCL Real'!Z157</f>
        <v>-173.29853308683226</v>
      </c>
      <c r="AE42" s="51">
        <f>'C-FCL Real'!AA157</f>
        <v>-168.04711555894892</v>
      </c>
      <c r="AF42" s="51">
        <f>'C-FCL Real'!AB157</f>
        <v>-162.63787204535143</v>
      </c>
      <c r="AG42" s="51">
        <f>'C-FCL Real'!AC157</f>
        <v>-157.07006076390698</v>
      </c>
      <c r="AH42" s="51">
        <f>'C-FCL Real'!AD157</f>
        <v>-151.34293644610668</v>
      </c>
      <c r="AI42" s="51">
        <f>'C-FCL Real'!AE157</f>
        <v>-145.45575032067964</v>
      </c>
      <c r="AJ42" s="1739">
        <f>'C-FCL Real'!AF157</f>
        <v>-139.40775009713002</v>
      </c>
      <c r="AK42" s="51">
        <f>'C-FCL Real'!AG157</f>
        <v>-133.19817994919666</v>
      </c>
      <c r="AL42" s="51">
        <f>'C-FCL Real'!AH157</f>
        <v>-126.82628049823495</v>
      </c>
      <c r="AM42" s="51">
        <f>'C-FCL Real'!AI157</f>
        <v>-120.29128879652066</v>
      </c>
      <c r="AN42" s="51">
        <f>'C-FCL Real'!AJ157</f>
        <v>-113.59243831047525</v>
      </c>
      <c r="AO42" s="51">
        <f>'C-FCL Real'!AK157</f>
        <v>-106.72895890381236</v>
      </c>
      <c r="AP42" s="51">
        <f>'C-FCL Real'!AL157</f>
        <v>-99.700076820605076</v>
      </c>
      <c r="AQ42" s="51">
        <f>'C-FCL Real'!AM157</f>
        <v>-92.505014668273674</v>
      </c>
      <c r="AR42" s="51">
        <f>'C-FCL Real'!AN157</f>
        <v>-85.14299140049323</v>
      </c>
      <c r="AS42" s="51">
        <f>'C-FCL Real'!AO157</f>
        <v>-77.613222300021164</v>
      </c>
      <c r="AT42" s="51">
        <f>'C-FCL Real'!AP157</f>
        <v>-69.914918961443817</v>
      </c>
      <c r="AU42" s="51">
        <f>'C-FCL Real'!AQ157</f>
        <v>-62.047289273842082</v>
      </c>
      <c r="AV42" s="51">
        <f>'C-FCL Real'!AR157</f>
        <v>-54.00953740337556</v>
      </c>
      <c r="AW42" s="51">
        <f>'C-FCL Real'!AS157</f>
        <v>-45.800863775784784</v>
      </c>
      <c r="AX42" s="51">
        <f>'C-FCL Real'!AT157</f>
        <v>-37.42046505881126</v>
      </c>
      <c r="AY42" s="51">
        <f>'C-FCL Real'!AU157</f>
        <v>-28.867534144534897</v>
      </c>
      <c r="AZ42" s="51">
        <f>'C-FCL Real'!AV157</f>
        <v>-20.141260131628368</v>
      </c>
      <c r="BA42" s="51">
        <f>'C-FCL Real'!AW157</f>
        <v>-11.240828307528115</v>
      </c>
      <c r="BB42" s="51">
        <f>'C-FCL Real'!AX157</f>
        <v>-2.165420130521527</v>
      </c>
      <c r="BC42" s="51">
        <f>'C-FCL Real'!AY157</f>
        <v>7.0857867882500578</v>
      </c>
      <c r="BD42" s="51">
        <f>'C-FCL Real'!AZ157</f>
        <v>16.51361870287294</v>
      </c>
      <c r="BE42" s="51">
        <f>'C-FCL Real'!BA157</f>
        <v>26.118905750827608</v>
      </c>
      <c r="BF42" s="51">
        <f>'C-FCL Real'!BB157</f>
        <v>35.902481971240732</v>
      </c>
      <c r="BG42" s="51">
        <f>'C-FCL Real'!BC157</f>
        <v>45.865185323222867</v>
      </c>
      <c r="BH42" s="51">
        <f>'C-FCL Real'!BD157</f>
        <v>0</v>
      </c>
    </row>
    <row r="43" spans="1:60" ht="15" customHeight="1" outlineLevel="1" x14ac:dyDescent="0.25">
      <c r="A43" s="1823">
        <f>A18+A21+A36</f>
        <v>253.02017545348366</v>
      </c>
      <c r="B43" s="1793" t="s">
        <v>1042</v>
      </c>
      <c r="C43" s="1811">
        <f>'R&amp;C-Painel de Controle'!D32</f>
        <v>35</v>
      </c>
      <c r="D43" s="1796" t="s">
        <v>309</v>
      </c>
    </row>
    <row r="44" spans="1:60" ht="15" customHeight="1" outlineLevel="1" x14ac:dyDescent="0.25">
      <c r="A44" s="1823">
        <f>A42-A43</f>
        <v>-16.082920328505821</v>
      </c>
      <c r="B44" s="1793" t="s">
        <v>1024</v>
      </c>
      <c r="C44" s="1727"/>
      <c r="D44" s="1192"/>
      <c r="F44" s="1733"/>
      <c r="G44" s="1733"/>
    </row>
    <row r="45" spans="1:60" s="1783" customFormat="1" ht="15" customHeight="1" outlineLevel="1" x14ac:dyDescent="0.25">
      <c r="A45" s="1823"/>
      <c r="B45" s="1793"/>
      <c r="C45" s="1841"/>
      <c r="D45" s="1192"/>
      <c r="F45" s="1733"/>
      <c r="G45" s="1733"/>
      <c r="AI45" s="383"/>
    </row>
    <row r="46" spans="1:60" ht="15" customHeight="1" outlineLevel="1" x14ac:dyDescent="0.25">
      <c r="B46" s="1738" t="s">
        <v>1021</v>
      </c>
      <c r="C46" s="1809">
        <f>F46*$C$16/1000000</f>
        <v>1664.2839726787861</v>
      </c>
      <c r="D46" s="1758" t="s">
        <v>1061</v>
      </c>
      <c r="E46" s="1758"/>
      <c r="F46" s="1775">
        <f>A27</f>
        <v>230.47656404143018</v>
      </c>
      <c r="G46" s="1758" t="s">
        <v>342</v>
      </c>
      <c r="H46" s="1758"/>
    </row>
    <row r="47" spans="1:60" ht="15" customHeight="1" outlineLevel="1" x14ac:dyDescent="0.25">
      <c r="B47" s="1869" t="s">
        <v>1022</v>
      </c>
      <c r="C47" s="1870">
        <f>F47*$C$16/1000000</f>
        <v>0</v>
      </c>
      <c r="D47" s="1871" t="s">
        <v>1061</v>
      </c>
      <c r="E47" s="1871"/>
      <c r="F47" s="1872">
        <f>A24</f>
        <v>0</v>
      </c>
      <c r="G47" s="1871" t="s">
        <v>342</v>
      </c>
      <c r="H47" s="1871"/>
    </row>
    <row r="48" spans="1:60" ht="15" customHeight="1" outlineLevel="1" thickBot="1" x14ac:dyDescent="0.3">
      <c r="B48" s="1738" t="s">
        <v>1023</v>
      </c>
      <c r="C48" s="1809">
        <f>F48*$C$16/1000000</f>
        <v>46.653006423873471</v>
      </c>
      <c r="D48" s="1758" t="s">
        <v>1061</v>
      </c>
      <c r="E48" s="1758"/>
      <c r="F48" s="1775">
        <f>A30</f>
        <v>6.4606910835476699</v>
      </c>
      <c r="G48" s="1758" t="s">
        <v>342</v>
      </c>
      <c r="H48" s="1758"/>
    </row>
    <row r="49" spans="1:35" s="42" customFormat="1" ht="15" customHeight="1" outlineLevel="1" thickTop="1" x14ac:dyDescent="0.25">
      <c r="A49" s="1740"/>
      <c r="B49" s="1759" t="s">
        <v>1025</v>
      </c>
      <c r="C49" s="1777">
        <f>C46+C47+C48</f>
        <v>1710.9369791026595</v>
      </c>
      <c r="D49" s="1760" t="s">
        <v>1061</v>
      </c>
      <c r="E49" s="1760"/>
      <c r="F49" s="1761">
        <f>F46+F47+F48</f>
        <v>236.93725512497784</v>
      </c>
      <c r="G49" s="1760" t="s">
        <v>342</v>
      </c>
      <c r="H49" s="1760"/>
      <c r="AI49" s="1740"/>
    </row>
    <row r="50" spans="1:35" ht="15" customHeight="1" outlineLevel="1" x14ac:dyDescent="0.25">
      <c r="B50" s="1869" t="s">
        <v>1027</v>
      </c>
      <c r="C50" s="1870">
        <f>F50*$C$16/1000000</f>
        <v>1758.9374846173926</v>
      </c>
      <c r="D50" s="1871" t="s">
        <v>1061</v>
      </c>
      <c r="E50" s="1871"/>
      <c r="F50" s="1872">
        <f>A18+A21</f>
        <v>243.5845531611902</v>
      </c>
      <c r="G50" s="1871" t="s">
        <v>342</v>
      </c>
      <c r="H50" s="1871"/>
    </row>
    <row r="51" spans="1:35" ht="15" customHeight="1" outlineLevel="1" x14ac:dyDescent="0.25">
      <c r="B51" s="1738" t="s">
        <v>1028</v>
      </c>
      <c r="C51" s="1821">
        <f>F51*$C$16/1000000</f>
        <v>68.135148658723594</v>
      </c>
      <c r="D51" s="1758" t="s">
        <v>1061</v>
      </c>
      <c r="E51" s="1758"/>
      <c r="F51" s="1776">
        <f>A36</f>
        <v>9.4356222922934609</v>
      </c>
      <c r="G51" s="1758" t="s">
        <v>342</v>
      </c>
      <c r="H51" s="1758"/>
    </row>
    <row r="52" spans="1:35" s="1735" customFormat="1" ht="15" customHeight="1" outlineLevel="1" thickBot="1" x14ac:dyDescent="0.3">
      <c r="A52" s="1745"/>
      <c r="B52" s="1799"/>
      <c r="C52" s="1820"/>
      <c r="D52" s="1770"/>
      <c r="E52" s="1770"/>
      <c r="F52" s="1770"/>
      <c r="G52" s="1770"/>
      <c r="H52" s="1770"/>
      <c r="AI52" s="1745"/>
    </row>
    <row r="53" spans="1:35" s="45" customFormat="1" ht="15" customHeight="1" outlineLevel="1" thickTop="1" x14ac:dyDescent="0.25">
      <c r="A53" s="925"/>
      <c r="B53" s="1843" t="s">
        <v>1026</v>
      </c>
      <c r="C53" s="1844">
        <f>C49-C50-C51</f>
        <v>-116.13565417345664</v>
      </c>
      <c r="D53" s="1845" t="s">
        <v>1061</v>
      </c>
      <c r="E53" s="1845"/>
      <c r="F53" s="1846">
        <f>F49-F50-F51</f>
        <v>-16.082920328505821</v>
      </c>
      <c r="G53" s="1845" t="s">
        <v>342</v>
      </c>
      <c r="H53" s="1845"/>
      <c r="AI53" s="925"/>
    </row>
    <row r="54" spans="1:35" s="1783" customFormat="1" ht="15" customHeight="1" thickBot="1" x14ac:dyDescent="0.3">
      <c r="A54" s="1823"/>
      <c r="B54" s="1793"/>
      <c r="C54" s="1841"/>
      <c r="D54" s="1192"/>
      <c r="F54" s="1733"/>
      <c r="G54" s="1733"/>
      <c r="AI54" s="383"/>
    </row>
    <row r="55" spans="1:35" s="1768" customFormat="1" ht="25.15" customHeight="1" collapsed="1" thickTop="1" thickBot="1" x14ac:dyDescent="0.3">
      <c r="A55" s="1769"/>
      <c r="B55" s="2399" t="s">
        <v>1082</v>
      </c>
      <c r="C55" s="2400"/>
      <c r="D55" s="2400"/>
      <c r="E55" s="2400"/>
      <c r="F55" s="2400"/>
      <c r="G55" s="2400"/>
      <c r="H55" s="2401"/>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11594891.670811117</v>
      </c>
      <c r="D57" s="1752" t="s">
        <v>1016</v>
      </c>
      <c r="E57" s="1752"/>
      <c r="F57" s="1753">
        <f>C57/'R&amp;C-Painel de Controle'!$D$8</f>
        <v>60.427828178085868</v>
      </c>
      <c r="G57" s="1752" t="s">
        <v>342</v>
      </c>
      <c r="H57" s="1754">
        <f>F57/$F$99</f>
        <v>0.24625090761212276</v>
      </c>
      <c r="AI57" s="925"/>
    </row>
    <row r="58" spans="1:35" s="1735" customFormat="1" ht="15" hidden="1" customHeight="1" outlineLevel="1" x14ac:dyDescent="0.25">
      <c r="A58" s="1745"/>
      <c r="B58" s="1747" t="s">
        <v>1034</v>
      </c>
      <c r="C58" s="1813">
        <f>('R&amp;C-Painel de Controle'!D8-'R&amp;C-Painel de Controle'!D9)</f>
        <v>117585.74295</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98.607972190484986</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14940002.198001239</v>
      </c>
      <c r="D61" s="1849" t="s">
        <v>1016</v>
      </c>
      <c r="E61" s="1849"/>
      <c r="F61" s="1850">
        <f>C61/'R&amp;C-Painel de Controle'!$D$8</f>
        <v>77.861174682099431</v>
      </c>
      <c r="G61" s="1849" t="s">
        <v>342</v>
      </c>
      <c r="H61" s="1851">
        <f>F61/$F$99</f>
        <v>0.31729396060218229</v>
      </c>
      <c r="AI61" s="925"/>
    </row>
    <row r="62" spans="1:35" s="1735" customFormat="1" ht="15" hidden="1" customHeight="1" outlineLevel="1" x14ac:dyDescent="0.25">
      <c r="A62" s="1745"/>
      <c r="B62" s="1741" t="str">
        <f>'R&amp;C-Painel de Controle'!J36</f>
        <v>Mat. Recicl.: Papel/Papelão — Triagem Mecanizada</v>
      </c>
      <c r="C62" s="1816">
        <f>'R&amp;C-Painel de Controle'!L36</f>
        <v>6813.1307779768285</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4628.7682384728078</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2392.3970670758331</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1248.2071654308693</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f>
        <v>312.05179135771732</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f>
        <v>1196.1985335379165</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4540291.3875493398</v>
      </c>
      <c r="D78" s="1758" t="s">
        <v>1016</v>
      </c>
      <c r="E78" s="1758"/>
      <c r="F78" s="1776">
        <f>C78/'R&amp;C-Painel de Controle'!$D$8</f>
        <v>23.662139814203353</v>
      </c>
      <c r="G78" s="1758" t="s">
        <v>342</v>
      </c>
      <c r="H78" s="1852">
        <f>F78/$F$99</f>
        <v>9.6426159618386173E-2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6356407.9425690752</v>
      </c>
      <c r="D79" s="1758" t="s">
        <v>1016</v>
      </c>
      <c r="E79" s="1758"/>
      <c r="F79" s="1776">
        <f>C79/'R&amp;C-Painel de Controle'!$D$8</f>
        <v>33.126995739884691</v>
      </c>
      <c r="G79" s="1758" t="s">
        <v>342</v>
      </c>
      <c r="H79" s="1852">
        <f>F79/$F$99</f>
        <v>0.13499662346574062</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2650934.1407219106</v>
      </c>
      <c r="D81" s="1855" t="s">
        <v>1016</v>
      </c>
      <c r="E81" s="1855"/>
      <c r="F81" s="1856">
        <f>C81/'R&amp;C-Painel de Controle'!$D$8</f>
        <v>13.815583389211541</v>
      </c>
      <c r="G81" s="1855" t="s">
        <v>342</v>
      </c>
      <c r="H81" s="1857">
        <f>F81/$F$99</f>
        <v>5.6300218812399411E-2</v>
      </c>
    </row>
    <row r="82" spans="1:35" ht="15" hidden="1" customHeight="1" outlineLevel="1" x14ac:dyDescent="0.25">
      <c r="B82" s="1755" t="s">
        <v>1037</v>
      </c>
      <c r="C82" s="1786">
        <f>'R&amp;C-Painel de Controle'!D8</f>
        <v>191880</v>
      </c>
      <c r="D82" s="1745" t="s">
        <v>298</v>
      </c>
      <c r="E82" s="1745"/>
      <c r="F82" s="1771"/>
      <c r="G82" s="1745"/>
      <c r="H82" s="1772"/>
    </row>
    <row r="83" spans="1:35" ht="15" hidden="1" customHeight="1" outlineLevel="1" x14ac:dyDescent="0.25">
      <c r="B83" s="1755" t="s">
        <v>1038</v>
      </c>
      <c r="C83" s="1786">
        <f>'R&amp;C-Painel de Controle'!D33</f>
        <v>268.77733415910234</v>
      </c>
      <c r="D83" s="1745" t="s">
        <v>342</v>
      </c>
      <c r="E83" s="1745"/>
      <c r="F83" s="1771"/>
      <c r="G83" s="1745"/>
      <c r="H83" s="1772"/>
    </row>
    <row r="84" spans="1:35" ht="15" hidden="1" customHeight="1" outlineLevel="1" x14ac:dyDescent="0.25">
      <c r="B84" s="1755" t="s">
        <v>1039</v>
      </c>
      <c r="C84" s="1786">
        <f>'R&amp;C-Painel de Controle'!D31*312</f>
        <v>15756</v>
      </c>
      <c r="D84" s="1745" t="s">
        <v>298</v>
      </c>
      <c r="E84" s="1745"/>
      <c r="F84" s="1771"/>
      <c r="G84" s="1745"/>
      <c r="H84" s="1772"/>
    </row>
    <row r="85" spans="1:35" ht="15" hidden="1" customHeight="1" outlineLevel="1" x14ac:dyDescent="0.25">
      <c r="B85" s="1755" t="s">
        <v>1040</v>
      </c>
      <c r="C85" s="1786">
        <f>'R&amp;C-Painel de Controle'!H31</f>
        <v>91.754756028792414</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285933.05642107636</v>
      </c>
      <c r="D88" s="1855" t="s">
        <v>1016</v>
      </c>
      <c r="E88" s="1855"/>
      <c r="F88" s="1856">
        <f>C88/'R&amp;C-Painel de Controle'!$D$8</f>
        <v>1.4901660226239126</v>
      </c>
      <c r="G88" s="1855" t="s">
        <v>342</v>
      </c>
      <c r="H88" s="1857">
        <f>F88/$F$99</f>
        <v>6.0726116861661685E-3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6717220.55936288</v>
      </c>
      <c r="D92" s="1855" t="s">
        <v>1016</v>
      </c>
      <c r="E92" s="1858"/>
      <c r="F92" s="1859">
        <f>C92/'R&amp;C-Painel de Controle'!$D$8</f>
        <v>35.007403373790282</v>
      </c>
      <c r="G92" s="1858" t="s">
        <v>342</v>
      </c>
      <c r="H92" s="1860">
        <f>F92/$F$99</f>
        <v>0.14265951820300246</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191880</v>
      </c>
      <c r="D94" s="1745" t="s">
        <v>298</v>
      </c>
      <c r="E94" s="1745"/>
      <c r="F94" s="1771"/>
      <c r="G94" s="1745"/>
      <c r="H94" s="1772"/>
    </row>
    <row r="95" spans="1:35" ht="15" hidden="1" customHeight="1" outlineLevel="1" x14ac:dyDescent="0.25">
      <c r="B95" s="1755" t="s">
        <v>1038</v>
      </c>
      <c r="C95" s="1786">
        <f>C83</f>
        <v>268.77733415910234</v>
      </c>
      <c r="D95" s="1745" t="s">
        <v>342</v>
      </c>
      <c r="E95" s="1745"/>
      <c r="F95" s="1771"/>
      <c r="G95" s="1745"/>
      <c r="H95" s="1772"/>
    </row>
    <row r="96" spans="1:35" ht="15" hidden="1" customHeight="1" outlineLevel="1" x14ac:dyDescent="0.25">
      <c r="B96" s="1755" t="s">
        <v>1039</v>
      </c>
      <c r="C96" s="1786">
        <f>C84</f>
        <v>15756</v>
      </c>
      <c r="D96" s="1745" t="s">
        <v>298</v>
      </c>
      <c r="E96" s="1745"/>
      <c r="F96" s="1771"/>
      <c r="G96" s="1745"/>
      <c r="H96" s="1772"/>
    </row>
    <row r="97" spans="1:35" ht="15" hidden="1" customHeight="1" outlineLevel="1" x14ac:dyDescent="0.25">
      <c r="B97" s="1755" t="s">
        <v>1040</v>
      </c>
      <c r="C97" s="1786">
        <f>C85</f>
        <v>91.754756028792414</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47085680.955436639</v>
      </c>
      <c r="D99" s="1863" t="s">
        <v>1016</v>
      </c>
      <c r="E99" s="1864"/>
      <c r="F99" s="1865">
        <f>C99/'R&amp;C-Painel de Controle'!$D$8</f>
        <v>245.39129119989911</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9" t="s">
        <v>1083</v>
      </c>
      <c r="C101" s="2400"/>
      <c r="D101" s="2400"/>
      <c r="E101" s="2400"/>
      <c r="F101" s="2400"/>
      <c r="G101" s="2400"/>
      <c r="H101" s="2401"/>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191880</v>
      </c>
      <c r="D103" s="1875" t="s">
        <v>298</v>
      </c>
      <c r="E103" s="1876"/>
      <c r="F103" s="1876"/>
      <c r="G103" s="1876"/>
      <c r="H103" s="1876"/>
    </row>
    <row r="104" spans="1:35" s="1783" customFormat="1" ht="15" hidden="1" customHeight="1" outlineLevel="1" x14ac:dyDescent="0.25">
      <c r="A104" s="383"/>
      <c r="B104" s="1873" t="s">
        <v>1069</v>
      </c>
      <c r="C104" s="1874">
        <f>C103/312</f>
        <v>615</v>
      </c>
      <c r="D104" s="1875" t="s">
        <v>21</v>
      </c>
      <c r="E104" s="1876"/>
      <c r="F104" s="1876"/>
      <c r="G104" s="1876"/>
      <c r="H104" s="1876"/>
      <c r="AI104" s="383"/>
    </row>
    <row r="105" spans="1:35" ht="15" hidden="1" customHeight="1" outlineLevel="1" x14ac:dyDescent="0.25">
      <c r="B105" s="1877" t="s">
        <v>1071</v>
      </c>
      <c r="C105" s="1874">
        <f>'R&amp;C-Painel de Controle'!D48</f>
        <v>208034.52757181157</v>
      </c>
      <c r="D105" s="1875" t="s">
        <v>298</v>
      </c>
      <c r="E105" s="1876"/>
      <c r="F105" s="1876"/>
      <c r="G105" s="1876"/>
      <c r="H105" s="1876"/>
    </row>
    <row r="106" spans="1:35" s="1783" customFormat="1" ht="15" hidden="1" customHeight="1" outlineLevel="1" x14ac:dyDescent="0.25">
      <c r="A106" s="383"/>
      <c r="B106" s="1877" t="s">
        <v>1086</v>
      </c>
      <c r="C106" s="1874">
        <f>C105/312</f>
        <v>666.77733196093448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10971.988818375001</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114.63261749999999</v>
      </c>
      <c r="D112" s="1884" t="s">
        <v>1065</v>
      </c>
      <c r="E112" s="1885"/>
      <c r="F112" s="1885"/>
      <c r="G112" s="1885"/>
      <c r="H112" s="1885"/>
      <c r="AI112" s="1745"/>
    </row>
    <row r="113" spans="1:35" ht="15" hidden="1" customHeight="1" outlineLevel="1" x14ac:dyDescent="0.25">
      <c r="B113" s="1793"/>
      <c r="C113" s="1809">
        <f>C112*312*$C$106/$C$104/1000</f>
        <v>38.77649174948403</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238.12261875000002</v>
      </c>
      <c r="D115" s="1884" t="s">
        <v>1065</v>
      </c>
      <c r="E115" s="1885"/>
      <c r="F115" s="1885"/>
      <c r="G115" s="1885"/>
      <c r="H115" s="1885"/>
      <c r="AI115" s="1745"/>
    </row>
    <row r="116" spans="1:35" ht="15" hidden="1" customHeight="1" outlineLevel="1" x14ac:dyDescent="0.25">
      <c r="B116" s="1834"/>
      <c r="C116" s="1809">
        <f>C115*312*$C$106/$C$104/1000</f>
        <v>80.549148773689183</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262.24476375</v>
      </c>
      <c r="D118" s="1884" t="s">
        <v>1065</v>
      </c>
      <c r="E118" s="1885"/>
      <c r="F118" s="1885"/>
      <c r="G118" s="1885"/>
      <c r="H118" s="1885"/>
      <c r="AI118" s="1745"/>
    </row>
    <row r="119" spans="1:35" ht="15" hidden="1" customHeight="1" outlineLevel="1" thickBot="1" x14ac:dyDescent="0.3">
      <c r="B119" s="1829"/>
      <c r="C119" s="1913">
        <f>C118*312*$C$106/$C$104/1000</f>
        <v>88.70888704863836</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5" t="s">
        <v>1075</v>
      </c>
      <c r="C121" s="1840"/>
      <c r="D121" s="1826"/>
      <c r="E121" s="1826"/>
      <c r="F121" s="1826"/>
      <c r="G121" s="1826"/>
      <c r="H121" s="1826"/>
    </row>
    <row r="122" spans="1:35" s="1783" customFormat="1" ht="15" hidden="1" customHeight="1" outlineLevel="1" x14ac:dyDescent="0.25">
      <c r="A122" s="383"/>
      <c r="B122" s="2393"/>
      <c r="C122" s="1888">
        <f>'R-Resumo Bal. Massa'!D64</f>
        <v>49.046250000000001</v>
      </c>
      <c r="D122" s="1880" t="s">
        <v>1065</v>
      </c>
      <c r="E122" s="1876"/>
      <c r="F122" s="1876"/>
      <c r="G122" s="1876"/>
      <c r="H122" s="1876"/>
      <c r="AI122" s="383"/>
    </row>
    <row r="123" spans="1:35" s="1783" customFormat="1" ht="15" hidden="1" customHeight="1" outlineLevel="1" x14ac:dyDescent="0.25">
      <c r="A123" s="383"/>
      <c r="B123" s="2394"/>
      <c r="C123" s="1809">
        <f>C122*312*$C$106/$C$104/1000</f>
        <v>16.590753573851973</v>
      </c>
      <c r="D123" s="1827" t="s">
        <v>1063</v>
      </c>
      <c r="E123" s="1192"/>
      <c r="F123" s="1192"/>
      <c r="G123" s="1192"/>
      <c r="H123" s="1192"/>
      <c r="AI123" s="383"/>
    </row>
    <row r="124" spans="1:35" ht="15" hidden="1" customHeight="1" outlineLevel="1" x14ac:dyDescent="0.25">
      <c r="B124" s="2392" t="s">
        <v>1081</v>
      </c>
      <c r="C124" s="1839"/>
      <c r="D124" s="1833"/>
      <c r="E124" s="1833"/>
      <c r="F124" s="1833"/>
      <c r="G124" s="1833"/>
      <c r="H124" s="1833"/>
    </row>
    <row r="125" spans="1:35" s="1783" customFormat="1" ht="15" hidden="1" customHeight="1" outlineLevel="1" x14ac:dyDescent="0.25">
      <c r="A125" s="383"/>
      <c r="B125" s="2393"/>
      <c r="C125" s="1888">
        <f>'R-Resumo Bal. Massa'!D73</f>
        <v>110.42325</v>
      </c>
      <c r="D125" s="1880" t="s">
        <v>1065</v>
      </c>
      <c r="E125" s="1876"/>
      <c r="F125" s="1876"/>
      <c r="G125" s="1876"/>
      <c r="H125" s="1876"/>
      <c r="AI125" s="383"/>
    </row>
    <row r="126" spans="1:35" s="1783" customFormat="1" ht="15" hidden="1" customHeight="1" outlineLevel="1" x14ac:dyDescent="0.25">
      <c r="A126" s="383"/>
      <c r="B126" s="2394"/>
      <c r="C126" s="1809">
        <f>C125*312*$C$106/$C$104/1000</f>
        <v>37.352599425518761</v>
      </c>
      <c r="D126" s="1827" t="s">
        <v>1063</v>
      </c>
      <c r="E126" s="1192"/>
      <c r="F126" s="1192"/>
      <c r="G126" s="1192"/>
      <c r="H126" s="1192"/>
      <c r="AI126" s="383"/>
    </row>
    <row r="127" spans="1:35" ht="15" hidden="1" customHeight="1" outlineLevel="1" x14ac:dyDescent="0.25">
      <c r="B127" s="2392" t="s">
        <v>1064</v>
      </c>
      <c r="C127" s="1839"/>
      <c r="D127" s="1833"/>
      <c r="E127" s="1833"/>
      <c r="F127" s="1833"/>
      <c r="G127" s="1833"/>
      <c r="H127" s="1833"/>
    </row>
    <row r="128" spans="1:35" s="1783" customFormat="1" ht="15" hidden="1" customHeight="1" outlineLevel="1" x14ac:dyDescent="0.25">
      <c r="A128" s="383"/>
      <c r="B128" s="2393"/>
      <c r="C128" s="1888">
        <f>'R-Resumo Bal. Massa'!D69</f>
        <v>102.77526374999999</v>
      </c>
      <c r="D128" s="1880" t="s">
        <v>1065</v>
      </c>
      <c r="E128" s="1876"/>
      <c r="F128" s="1876"/>
      <c r="G128" s="1876"/>
      <c r="H128" s="1876"/>
      <c r="AI128" s="383"/>
    </row>
    <row r="129" spans="1:35" s="1783" customFormat="1" ht="15" hidden="1" customHeight="1" outlineLevel="1" x14ac:dyDescent="0.25">
      <c r="A129" s="383"/>
      <c r="B129" s="2394"/>
      <c r="C129" s="1809">
        <f>C128*312*$C$106/$C$104/1000</f>
        <v>34.765534049267607</v>
      </c>
      <c r="D129" s="1835" t="s">
        <v>1063</v>
      </c>
      <c r="E129" s="1836"/>
      <c r="F129" s="1836"/>
      <c r="G129" s="1836"/>
      <c r="H129" s="1836"/>
      <c r="AI129" s="383"/>
    </row>
    <row r="130" spans="1:35" s="2099" customFormat="1" ht="15" hidden="1" customHeight="1" outlineLevel="1" x14ac:dyDescent="0.25">
      <c r="A130" s="383"/>
      <c r="B130" s="2392" t="s">
        <v>1124</v>
      </c>
      <c r="C130" s="2101">
        <f>IF('R-Definição'!E112&gt;0,'R-Definição'!O111/'R-Definição'!E112,0)</f>
        <v>0</v>
      </c>
      <c r="D130" s="1796" t="s">
        <v>1125</v>
      </c>
      <c r="E130" s="1192"/>
      <c r="F130" s="1192"/>
      <c r="G130" s="1192"/>
      <c r="H130" s="1192"/>
      <c r="AI130" s="383"/>
    </row>
    <row r="131" spans="1:35" s="2099" customFormat="1" ht="15" hidden="1" customHeight="1" outlineLevel="1" x14ac:dyDescent="0.25">
      <c r="A131" s="383"/>
      <c r="B131" s="2393"/>
      <c r="C131" s="2100">
        <f>C130*C106</f>
        <v>0</v>
      </c>
      <c r="D131" s="1880" t="s">
        <v>1067</v>
      </c>
      <c r="E131" s="1876"/>
      <c r="F131" s="1876"/>
      <c r="G131" s="1876"/>
      <c r="H131" s="1876"/>
      <c r="AI131" s="383"/>
    </row>
    <row r="132" spans="1:35" s="2099" customFormat="1" ht="15" hidden="1" customHeight="1" outlineLevel="1" x14ac:dyDescent="0.25">
      <c r="A132" s="383"/>
      <c r="B132" s="2394"/>
      <c r="C132" s="1867">
        <f>C130*C105/1000</f>
        <v>0</v>
      </c>
      <c r="D132" s="1835" t="s">
        <v>306</v>
      </c>
      <c r="E132" s="1836"/>
      <c r="F132" s="1836"/>
      <c r="G132" s="1836"/>
      <c r="H132" s="1836"/>
      <c r="AI132" s="383"/>
    </row>
    <row r="133" spans="1:35" ht="15" hidden="1" customHeight="1" outlineLevel="1" x14ac:dyDescent="0.25">
      <c r="B133" s="2392" t="s">
        <v>1123</v>
      </c>
      <c r="C133" s="1838">
        <f>IF(AND('R-Definição'!O62&gt;0,'R-Definição'!J65&gt;0),('R-Definição'!O69/('R-Definição'!O62*'R-Definição'!J65/100)),0)</f>
        <v>250.90000000000003</v>
      </c>
      <c r="D133" s="1796" t="s">
        <v>1095</v>
      </c>
      <c r="E133" s="1192"/>
      <c r="F133" s="1192"/>
      <c r="G133" s="1192"/>
      <c r="H133" s="1192"/>
    </row>
    <row r="134" spans="1:35" s="1783" customFormat="1" ht="15" hidden="1" customHeight="1" outlineLevel="1" x14ac:dyDescent="0.25">
      <c r="A134" s="383"/>
      <c r="B134" s="2393"/>
      <c r="C134" s="1916">
        <f>C133*C106*C107</f>
        <v>80970.50537307527</v>
      </c>
      <c r="D134" s="1880" t="s">
        <v>1067</v>
      </c>
      <c r="E134" s="1876"/>
      <c r="F134" s="1876"/>
      <c r="G134" s="1876"/>
      <c r="H134" s="1876"/>
      <c r="AI134" s="383"/>
    </row>
    <row r="135" spans="1:35" s="1783" customFormat="1" ht="15" hidden="1" customHeight="1" outlineLevel="1" x14ac:dyDescent="0.25">
      <c r="A135" s="383"/>
      <c r="B135" s="2394"/>
      <c r="C135" s="1867">
        <f>C133*C105*C107/1000</f>
        <v>25262.797676399485</v>
      </c>
      <c r="D135" s="1835" t="s">
        <v>306</v>
      </c>
      <c r="E135" s="1836"/>
      <c r="F135" s="1836"/>
      <c r="G135" s="1836"/>
      <c r="H135" s="1836"/>
      <c r="AI135" s="383"/>
    </row>
    <row r="136" spans="1:35" ht="15" hidden="1" customHeight="1" outlineLevel="1" x14ac:dyDescent="0.25">
      <c r="B136" s="2392" t="s">
        <v>238</v>
      </c>
      <c r="C136" s="1838">
        <f>IF(AND('R-Definição'!O62&gt;0,'R-Definição'!J64&gt;0),('R-Definição'!O70/('R-Definição'!O62*'R-Definição'!J64/100)),0)</f>
        <v>62.725000000000009</v>
      </c>
      <c r="D136" s="1917" t="s">
        <v>1096</v>
      </c>
      <c r="E136" s="1192"/>
      <c r="F136" s="1192"/>
      <c r="G136" s="1192"/>
      <c r="H136" s="1192"/>
    </row>
    <row r="137" spans="1:35" s="1783" customFormat="1" ht="15" hidden="1" customHeight="1" outlineLevel="1" x14ac:dyDescent="0.25">
      <c r="A137" s="383"/>
      <c r="B137" s="2393"/>
      <c r="C137" s="1916">
        <f>C136*C106*C107</f>
        <v>20242.626343268817</v>
      </c>
      <c r="D137" s="1880" t="s">
        <v>1068</v>
      </c>
      <c r="E137" s="1876"/>
      <c r="F137" s="1876"/>
      <c r="G137" s="1876"/>
      <c r="H137" s="1876"/>
      <c r="AI137" s="383"/>
    </row>
    <row r="138" spans="1:35" s="1783" customFormat="1" ht="15" hidden="1" customHeight="1" outlineLevel="1" x14ac:dyDescent="0.25">
      <c r="A138" s="383"/>
      <c r="B138" s="2393"/>
      <c r="C138" s="1867">
        <f>C136*C105*C107</f>
        <v>6315699.4190998711</v>
      </c>
      <c r="D138" s="1884" t="s">
        <v>1077</v>
      </c>
      <c r="E138" s="1876"/>
      <c r="F138" s="1876"/>
      <c r="G138" s="1876"/>
      <c r="H138" s="1876"/>
      <c r="AI138" s="383"/>
    </row>
    <row r="139" spans="1:35" ht="15" hidden="1" customHeight="1" outlineLevel="1" thickBot="1" x14ac:dyDescent="0.3">
      <c r="B139" s="1886" t="s">
        <v>1076</v>
      </c>
      <c r="C139" s="1868">
        <f>(C138*90%)/1000</f>
        <v>5684.1294771898847</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codeName="Planilha1"/>
  <dimension ref="D7:P21"/>
  <sheetViews>
    <sheetView workbookViewId="0">
      <selection activeCell="P22" sqref="P22"/>
    </sheetView>
  </sheetViews>
  <sheetFormatPr defaultRowHeight="15" x14ac:dyDescent="0.25"/>
  <sheetData>
    <row r="7" spans="4:16" x14ac:dyDescent="0.25">
      <c r="F7" t="s">
        <v>1126</v>
      </c>
      <c r="G7" s="2105">
        <v>0</v>
      </c>
      <c r="H7" s="2105">
        <v>25</v>
      </c>
      <c r="I7" s="2105">
        <v>75</v>
      </c>
      <c r="J7" s="2105">
        <v>150</v>
      </c>
      <c r="K7" s="2105">
        <v>250</v>
      </c>
      <c r="L7" s="2105">
        <v>350</v>
      </c>
      <c r="M7" s="2105">
        <v>700</v>
      </c>
      <c r="N7" s="2105">
        <v>1250</v>
      </c>
      <c r="O7" s="2105">
        <v>2500</v>
      </c>
      <c r="P7" s="2105">
        <v>5000</v>
      </c>
    </row>
    <row r="8" spans="4:16" x14ac:dyDescent="0.25">
      <c r="F8" t="s">
        <v>489</v>
      </c>
      <c r="G8" s="2105"/>
      <c r="H8" s="2105">
        <v>4572.8065095836992</v>
      </c>
      <c r="I8" s="2105">
        <v>3578.117397670841</v>
      </c>
      <c r="J8" s="2105">
        <v>3140.2033317437476</v>
      </c>
      <c r="K8" s="2105">
        <v>2384.1580606429065</v>
      </c>
      <c r="L8" s="2105">
        <v>2051.2096531725124</v>
      </c>
      <c r="M8" s="2105">
        <v>1637.8810466364127</v>
      </c>
      <c r="N8" s="2105">
        <v>1575.9559653452941</v>
      </c>
      <c r="O8" s="2105">
        <v>1218.0200710014474</v>
      </c>
      <c r="P8" s="2105">
        <v>742.96386883270225</v>
      </c>
    </row>
    <row r="9" spans="4:16" x14ac:dyDescent="0.25">
      <c r="F9" t="s">
        <v>1127</v>
      </c>
      <c r="G9" s="2105"/>
      <c r="H9" s="2105">
        <v>619.80683587625879</v>
      </c>
      <c r="I9" s="2105">
        <v>543.98797162874689</v>
      </c>
      <c r="J9" s="2105">
        <v>390.06808391546417</v>
      </c>
      <c r="K9" s="2105">
        <v>269.22835410418679</v>
      </c>
      <c r="L9" s="2105">
        <v>233.89554658665418</v>
      </c>
      <c r="M9" s="2105">
        <v>170.92408612423577</v>
      </c>
      <c r="N9" s="2105">
        <v>142.06366360529296</v>
      </c>
      <c r="O9" s="2105">
        <v>114.79350944326163</v>
      </c>
      <c r="P9" s="2105">
        <v>53.222800512828414</v>
      </c>
    </row>
    <row r="11" spans="4:16" x14ac:dyDescent="0.25">
      <c r="F11" s="2102" t="s">
        <v>1128</v>
      </c>
      <c r="G11" s="2105">
        <v>0</v>
      </c>
      <c r="H11" s="2105">
        <v>25</v>
      </c>
      <c r="I11" s="2105">
        <v>75</v>
      </c>
      <c r="J11" s="2105">
        <v>150</v>
      </c>
      <c r="K11" s="2105">
        <v>250</v>
      </c>
      <c r="L11" s="2105">
        <v>350</v>
      </c>
      <c r="M11" s="2105">
        <v>700</v>
      </c>
      <c r="N11" s="2105">
        <v>1250</v>
      </c>
      <c r="O11" s="2105">
        <v>2500</v>
      </c>
      <c r="P11" s="2105">
        <v>5000</v>
      </c>
    </row>
    <row r="12" spans="4:16" x14ac:dyDescent="0.25">
      <c r="D12" s="2103"/>
      <c r="F12" s="2102" t="s">
        <v>489</v>
      </c>
      <c r="H12" s="2105">
        <v>4603</v>
      </c>
      <c r="I12" s="2105">
        <v>3609</v>
      </c>
      <c r="J12" s="2105">
        <v>2305</v>
      </c>
      <c r="K12" s="2105">
        <v>1701</v>
      </c>
      <c r="L12" s="2105">
        <v>1483</v>
      </c>
      <c r="M12" s="2105">
        <v>1174</v>
      </c>
      <c r="N12" s="2105">
        <v>1071</v>
      </c>
      <c r="O12" s="2105">
        <v>789</v>
      </c>
      <c r="P12" s="2105">
        <v>161</v>
      </c>
    </row>
    <row r="13" spans="4:16" x14ac:dyDescent="0.25">
      <c r="D13" s="2104"/>
      <c r="F13" s="2102" t="s">
        <v>1127</v>
      </c>
      <c r="H13" s="2105">
        <v>627</v>
      </c>
      <c r="I13" s="2105">
        <v>525</v>
      </c>
      <c r="J13" s="2105">
        <v>327</v>
      </c>
      <c r="K13" s="2105">
        <v>229</v>
      </c>
      <c r="L13" s="2105">
        <v>196</v>
      </c>
      <c r="M13" s="2105">
        <v>144</v>
      </c>
      <c r="N13" s="2105">
        <v>116</v>
      </c>
      <c r="O13" s="2105">
        <v>95</v>
      </c>
      <c r="P13" s="2105">
        <v>36</v>
      </c>
    </row>
    <row r="15" spans="4:16" x14ac:dyDescent="0.25">
      <c r="F15" s="2102" t="s">
        <v>1129</v>
      </c>
      <c r="G15" s="2105">
        <v>0</v>
      </c>
      <c r="H15" s="2105">
        <v>25</v>
      </c>
      <c r="I15" s="2105">
        <v>75</v>
      </c>
      <c r="J15" s="2105">
        <v>150</v>
      </c>
      <c r="K15" s="2105">
        <v>250</v>
      </c>
      <c r="L15" s="2105">
        <v>350</v>
      </c>
      <c r="M15" s="2105">
        <v>700</v>
      </c>
      <c r="N15" s="2105">
        <v>1250</v>
      </c>
      <c r="O15" s="2105">
        <v>2500</v>
      </c>
      <c r="P15" s="2105">
        <v>5000</v>
      </c>
    </row>
    <row r="16" spans="4:16" x14ac:dyDescent="0.25">
      <c r="F16" s="2102" t="s">
        <v>489</v>
      </c>
      <c r="G16" s="2102"/>
      <c r="H16" s="2105">
        <v>5968</v>
      </c>
      <c r="I16" s="2105">
        <v>4894</v>
      </c>
      <c r="J16" s="2105">
        <v>3365</v>
      </c>
      <c r="K16" s="2105">
        <v>2848</v>
      </c>
      <c r="L16" s="2105">
        <v>2651</v>
      </c>
      <c r="M16" s="2105">
        <v>1802</v>
      </c>
      <c r="N16" s="2105">
        <v>1668</v>
      </c>
      <c r="O16" s="2105">
        <v>1600</v>
      </c>
      <c r="P16" s="2105">
        <v>144</v>
      </c>
    </row>
    <row r="17" spans="6:16" x14ac:dyDescent="0.25">
      <c r="F17" s="2102" t="s">
        <v>1127</v>
      </c>
      <c r="G17" s="2102"/>
      <c r="H17" s="2105">
        <v>846</v>
      </c>
      <c r="I17" s="2105">
        <v>626</v>
      </c>
      <c r="J17" s="2105">
        <v>364</v>
      </c>
      <c r="K17" s="2105">
        <v>261</v>
      </c>
      <c r="L17" s="2105">
        <v>257</v>
      </c>
      <c r="M17" s="2105">
        <v>167</v>
      </c>
      <c r="N17" s="2105">
        <v>139</v>
      </c>
      <c r="O17" s="2105">
        <v>126</v>
      </c>
      <c r="P17" s="2105">
        <v>32</v>
      </c>
    </row>
    <row r="19" spans="6:16" x14ac:dyDescent="0.25">
      <c r="F19" s="2102" t="s">
        <v>1130</v>
      </c>
      <c r="G19" s="2105">
        <v>0</v>
      </c>
      <c r="H19" s="2105">
        <v>25</v>
      </c>
      <c r="I19" s="2105">
        <v>75</v>
      </c>
      <c r="J19" s="2105">
        <v>150</v>
      </c>
      <c r="K19" s="2105">
        <v>250</v>
      </c>
      <c r="L19" s="2105">
        <v>350</v>
      </c>
      <c r="M19" s="2105">
        <v>700</v>
      </c>
      <c r="N19" s="2105">
        <v>1250</v>
      </c>
      <c r="O19" s="2105">
        <v>2500</v>
      </c>
      <c r="P19" s="2105">
        <v>5000</v>
      </c>
    </row>
    <row r="20" spans="6:16" x14ac:dyDescent="0.25">
      <c r="F20" s="2102" t="s">
        <v>489</v>
      </c>
      <c r="G20" s="2102"/>
      <c r="H20" s="2105">
        <v>12934</v>
      </c>
      <c r="I20" s="2105">
        <v>7226</v>
      </c>
      <c r="J20" s="2105">
        <v>5724</v>
      </c>
      <c r="K20" s="2105">
        <v>5037</v>
      </c>
      <c r="L20" s="2105">
        <v>4674</v>
      </c>
      <c r="M20" s="2105">
        <v>3947</v>
      </c>
      <c r="N20" s="2105">
        <v>4031</v>
      </c>
      <c r="O20" s="2105">
        <v>3570</v>
      </c>
      <c r="P20" s="2105">
        <v>3589</v>
      </c>
    </row>
    <row r="21" spans="6:16" x14ac:dyDescent="0.25">
      <c r="F21" s="2102" t="s">
        <v>1127</v>
      </c>
      <c r="G21" s="2102"/>
      <c r="H21" s="2105">
        <v>2828</v>
      </c>
      <c r="I21" s="2105">
        <v>1049</v>
      </c>
      <c r="J21" s="2105">
        <v>603</v>
      </c>
      <c r="K21" s="2105">
        <v>423</v>
      </c>
      <c r="L21" s="2105">
        <v>344</v>
      </c>
      <c r="M21" s="2105">
        <v>240</v>
      </c>
      <c r="N21" s="2105">
        <v>207</v>
      </c>
      <c r="O21" s="2105">
        <v>179</v>
      </c>
      <c r="P21" s="2105">
        <v>165</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10"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10"/>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8" t="str">
        <f>'R-Definição'!D2</f>
        <v>CIRSOP - Consórcio RSU Oeste Paulista</v>
      </c>
      <c r="R2" s="2409"/>
      <c r="S2" s="1051"/>
      <c r="T2" s="1053" t="s">
        <v>486</v>
      </c>
      <c r="U2" s="2408" t="str">
        <f>'R-Definição'!D3</f>
        <v>Biodigestão c/ Prod. E. Elétrica</v>
      </c>
      <c r="V2" s="2409"/>
      <c r="W2" s="353"/>
      <c r="X2" s="353"/>
      <c r="Y2" s="353"/>
      <c r="Z2" s="353"/>
      <c r="AA2" s="353"/>
      <c r="AB2" s="353"/>
    </row>
    <row r="3" spans="1:28" s="352" customFormat="1" ht="19.899999999999999" customHeight="1" x14ac:dyDescent="0.25">
      <c r="A3" s="478"/>
      <c r="B3" s="2410"/>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402" t="s">
        <v>691</v>
      </c>
      <c r="C9" s="1099"/>
      <c r="D9" s="2405" t="s">
        <v>696</v>
      </c>
      <c r="E9" s="2406"/>
      <c r="F9" s="2406"/>
      <c r="G9" s="2406"/>
      <c r="H9" s="2406"/>
      <c r="I9" s="2406"/>
      <c r="J9" s="2406"/>
      <c r="K9" s="2406"/>
      <c r="L9" s="2406"/>
      <c r="M9" s="2406"/>
      <c r="N9" s="2406"/>
      <c r="O9" s="2406"/>
      <c r="P9" s="2406"/>
      <c r="Q9" s="2406"/>
      <c r="R9" s="2406"/>
      <c r="S9" s="2406"/>
      <c r="T9" s="2406"/>
      <c r="U9" s="2406"/>
      <c r="V9" s="2407"/>
      <c r="W9" s="1046"/>
      <c r="X9" s="1046"/>
      <c r="Y9" s="1046"/>
      <c r="Z9" s="1046"/>
      <c r="AA9" s="1046"/>
      <c r="AB9" s="1046"/>
    </row>
    <row r="10" spans="1:28" s="352" customFormat="1" ht="7.5" customHeight="1" x14ac:dyDescent="0.25">
      <c r="A10" s="478"/>
      <c r="B10" s="2403"/>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4"/>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C1" zoomScale="75" zoomScaleNormal="75" workbookViewId="0">
      <selection activeCell="AA15" sqref="AA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48"/>
      <c r="B1" s="2417"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7"/>
      <c r="C2" s="487"/>
      <c r="D2" s="1097">
        <f>('R-Resumo Bal. Massa'!B20+'R-Resumo Bal. Massa'!B21)*(1+'R&amp;C-Painel de Controle'!H56)</f>
        <v>615.00000000000011</v>
      </c>
      <c r="E2" s="1098" t="s">
        <v>21</v>
      </c>
      <c r="H2" s="1305">
        <f>D2*313</f>
        <v>192495.00000000003</v>
      </c>
      <c r="I2" s="1304" t="s">
        <v>298</v>
      </c>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11" t="s">
        <v>691</v>
      </c>
      <c r="C9" s="1099"/>
      <c r="D9" s="2414" t="s">
        <v>695</v>
      </c>
      <c r="E9" s="2415"/>
      <c r="F9" s="2415"/>
      <c r="G9" s="2415"/>
      <c r="H9" s="2415"/>
      <c r="I9" s="2415"/>
      <c r="J9" s="2415"/>
      <c r="K9" s="2415"/>
      <c r="L9" s="2415"/>
      <c r="M9" s="2415"/>
      <c r="N9" s="2415"/>
      <c r="O9" s="2415"/>
      <c r="P9" s="2415"/>
      <c r="Q9" s="2415"/>
      <c r="R9" s="2415"/>
      <c r="S9" s="2415"/>
      <c r="T9" s="2415"/>
      <c r="U9" s="2415"/>
      <c r="V9" s="2416"/>
      <c r="W9" s="1269"/>
      <c r="X9" s="1079"/>
      <c r="Y9" s="1079"/>
      <c r="Z9" s="1079"/>
      <c r="AA9" s="1079"/>
      <c r="AB9" s="1079"/>
    </row>
    <row r="10" spans="1:28" s="1076" customFormat="1" ht="7.5" customHeight="1" x14ac:dyDescent="0.3">
      <c r="A10" s="118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13"/>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f>IF(M7="SIM",((((P15*(($D$2-L11)/(N11-L11))*$H$2/1000)*M21*$D$5*(1+'R&amp;C-Painel de Controle'!$D$61)+(P15*(($D$2-L11)/(N11-L11))*$H$2/1000)*(1-M21)*'R&amp;C-Painel de Controle'!$D$52*(1+'R&amp;C-Painel de Controle'!$D$54)))+(((L15*((N11-$D$2)/(N11-L11))*$H$2/1000)*M21*$D$5*(1+'R&amp;C-Painel de Controle'!$D$61)+(L15*((N11-$D$2)/(N11-L11))*$H$2/1000)*(1-M21)*'R&amp;C-Painel de Controle'!$D$52*(1+'R&amp;C-Painel de Controle'!$D$54))))/1000, "-")</f>
        <v>58.8513424155</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t="str">
        <f>(IF(E$7="SIM",(((D17-F17)*'R&amp;C-Painel de Controle'!$D$57+F17*('R&amp;C-Painel de Controle'!$D$60)+(((75)+(15+E30/5*30)+(25+E30/10*25))*D16)))/1000000,"-"))</f>
        <v>-</v>
      </c>
      <c r="F16" s="1117">
        <v>0.05</v>
      </c>
      <c r="G16" s="1058"/>
      <c r="H16" s="1116">
        <v>2000</v>
      </c>
      <c r="I16" s="1035" t="str">
        <f>(IF(I$7="SIM",(((H17-J17)*'R&amp;C-Painel de Controle'!$D$57+J17*('R&amp;C-Painel de Controle'!$D$60)+(((150)+(15+I30/5*30)+(25+I30/10*25))*H16)))/1000000,"-"))</f>
        <v>-</v>
      </c>
      <c r="J16" s="1117">
        <v>0.05</v>
      </c>
      <c r="K16" s="1058"/>
      <c r="L16" s="1116">
        <v>2000</v>
      </c>
      <c r="M16" s="1035">
        <f>(IF(M$7="SIM",(((L17-N17)*'R&amp;C-Painel de Controle'!$D$57+N17*('R&amp;C-Painel de Controle'!$D$60)+(((150)+(15+M30/5*30)+(25+M30/10*25))*L16)))/1000000,"-"))</f>
        <v>23.030140687119282</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f>(IF(M$7="SIM",('R&amp;C-Painel de Controle'!$D$55+0.25)*L17/1000000,"-"))</f>
        <v>5.4450703435596423E-3</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t="str">
        <f>IF(E7="SIM",(E15+E16)*F18*1000/$H$2,"-")</f>
        <v>-</v>
      </c>
      <c r="E18" s="1035" t="str">
        <f>(IF(E$7="SIM",$H$2*D18/1000,"-"))</f>
        <v>-</v>
      </c>
      <c r="F18" s="1115">
        <v>7.4999999999999997E-2</v>
      </c>
      <c r="G18" s="1058"/>
      <c r="H18" s="1276" t="str">
        <f>IF(I7="SIM",(I15+I16)*J18*1000/$H$2,"-")</f>
        <v>-</v>
      </c>
      <c r="I18" s="1035" t="str">
        <f>(IF(I$7="SIM",$H$2*H18/1000,"-"))</f>
        <v>-</v>
      </c>
      <c r="J18" s="1115">
        <v>7.4999999999999997E-2</v>
      </c>
      <c r="K18" s="1058"/>
      <c r="L18" s="1276">
        <f>IF(M7="SIM",(M15+M16)*N18*1000/$H$2,"-")</f>
        <v>3.1902705175180894E-2</v>
      </c>
      <c r="M18" s="1035">
        <f>(IF(M$7="SIM",$H$2*L18/1000,"-"))</f>
        <v>6.1411112326964465</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f>IF(M7="SIM",SUM(M15:M18)*(1+L19),"-")</f>
        <v>92.429441375942247</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f>IF(M7="SIM",M19*1000000/$H$2,"-")</f>
        <v>480.16541404162308</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t="str">
        <f>IF(E7="SIM",(E15*F15+E16*F16)/4,"-")</f>
        <v>-</v>
      </c>
      <c r="F23" s="365"/>
      <c r="G23" s="928"/>
      <c r="H23" s="365"/>
      <c r="I23" s="371" t="str">
        <f>IF(I7="SIM",(I15*J15+I16*J16)/4,"-")</f>
        <v>-</v>
      </c>
      <c r="J23" s="365"/>
      <c r="K23" s="928"/>
      <c r="L23" s="365"/>
      <c r="M23" s="371">
        <f>IF(M7="SIM",(M15*N15+M16*N16)/4,"-")</f>
        <v>1.7591603189764911</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t="str">
        <f>(IF(E$7="SIM",(E31)*2.4*12/$H$2,"-"))</f>
        <v>-</v>
      </c>
      <c r="F27" s="1115"/>
      <c r="G27" s="1191"/>
      <c r="H27" s="1232"/>
      <c r="I27" s="1088" t="str">
        <f>(IF(I$7="SIM",(I31)*2.4*12/$H$2,"-"))</f>
        <v>-</v>
      </c>
      <c r="J27" s="1233"/>
      <c r="K27" s="1191"/>
      <c r="L27" s="1232"/>
      <c r="M27" s="1088">
        <f>(IF(M$7="SIM",(M31)*2.4*12/$H$2,"-"))</f>
        <v>23.040598457102778</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f>(IF(M$7="SIM",(M33*$H$2/1000*'R&amp;C-Painel de Controle'!$D$68+M34/1000*'R&amp;C-Painel de Controle'!$D$69*12)/$H$2,"-"))</f>
        <v>0</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t="str">
        <f>(IF(E$7="SIM",(E15*1000000*E36+E37*12)/$H$2,"-"))</f>
        <v>-</v>
      </c>
      <c r="F35" s="1221"/>
      <c r="G35" s="1199"/>
      <c r="H35" s="1280"/>
      <c r="I35" s="1088" t="str">
        <f>(IF(I$7="SIM",(I15*1000000*I36+I37*12)/$H$2,"-"))</f>
        <v>-</v>
      </c>
      <c r="J35" s="1221"/>
      <c r="K35" s="1199"/>
      <c r="L35" s="1280"/>
      <c r="M35" s="1088">
        <f>(IF(M$7="SIM",(M15*1000000*M36+M37*12)/$H$2,"-"))</f>
        <v>26.225670322333045</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t="str">
        <f>(IF(E$7="SIM",D38*E39*E40*12/$H$2,"-"))</f>
        <v>-</v>
      </c>
      <c r="F38" s="1221"/>
      <c r="G38" s="1199"/>
      <c r="H38" s="1274">
        <f>D38</f>
        <v>0.5</v>
      </c>
      <c r="I38" s="1088" t="str">
        <f>(IF(I$7="SIM",H38*I39*I40*12/$H$2,"-"))</f>
        <v>-</v>
      </c>
      <c r="J38" s="1221"/>
      <c r="K38" s="1199"/>
      <c r="L38" s="1274">
        <f>H38</f>
        <v>0.5</v>
      </c>
      <c r="M38" s="1088">
        <f>(IF(M$7="SIM",L38*M39*M40*12/$H$2,"-"))</f>
        <v>6.2339281539780247</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t="str">
        <f>(IF(E$7="SIM",7.5+1.5*'R&amp;C-Painel de Controle'!$D$74,"-"))</f>
        <v>-</v>
      </c>
      <c r="F41" s="1221"/>
      <c r="G41" s="1199"/>
      <c r="H41" s="1280"/>
      <c r="I41" s="1091" t="str">
        <f>(IF(I$7="SIM",7.5+1.5*'R&amp;C-Painel de Controle'!$D$74,"-"))</f>
        <v>-</v>
      </c>
      <c r="J41" s="1221"/>
      <c r="K41" s="1199"/>
      <c r="L41" s="1280"/>
      <c r="M41" s="1091">
        <f>(IF(M$7="SIM",7.5+1.5*'R&amp;C-Painel de Controle'!$D$74,"-"))</f>
        <v>12</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t="str">
        <f>(IF(E$7="SIM",(E27+E32+E35+E38+E41)*(1+D42),"-"))</f>
        <v>-</v>
      </c>
      <c r="F42" s="1224"/>
      <c r="G42" s="1201"/>
      <c r="H42" s="1274">
        <v>0.1</v>
      </c>
      <c r="I42" s="1081" t="str">
        <f>(IF(I$7="SIM",(I27+I32+I35+I38+I41)*(1+H42),"-"))</f>
        <v>-</v>
      </c>
      <c r="J42" s="1224"/>
      <c r="K42" s="1201"/>
      <c r="L42" s="1274">
        <v>0.1</v>
      </c>
      <c r="M42" s="1081">
        <f>(IF(M$7="SIM",(M27+M32+M35+M38+M41)*(1+L42),"-"))</f>
        <v>74.250216626755233</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t="str">
        <f>(IF(E$7="SIM",E42*$H$2/1000000,"-"))</f>
        <v>-</v>
      </c>
      <c r="F43" s="1226"/>
      <c r="G43" s="1102"/>
      <c r="H43" s="1225"/>
      <c r="I43" s="1080" t="str">
        <f>(IF(I$7="SIM",I42*$H$2/1000000,"-"))</f>
        <v>-</v>
      </c>
      <c r="J43" s="1226"/>
      <c r="K43" s="1102"/>
      <c r="L43" s="1225"/>
      <c r="M43" s="1080">
        <f>(IF(M$7="SIM",M42*$H$2/1000000,"-"))</f>
        <v>14.292795449567251</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f>(IF(M$7="SIM",(((M27*$H$2/12)+(M34/1000*'R&amp;C-Painel de Controle'!$D$69*12)+(M37*12)+(M39*M40*12))/1000000),"-"))</f>
        <v>5.1696</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t="str">
        <f>(IF(E$7="SIM",((E43-E44)*1000000)/$H$2,"-"))</f>
        <v>-</v>
      </c>
      <c r="F45" s="1230"/>
      <c r="G45" s="1058"/>
      <c r="H45" s="1228"/>
      <c r="I45" s="1229" t="str">
        <f>(IF(I$7="SIM",((I43-I44)*1000000)/$H$2,"-"))</f>
        <v>-</v>
      </c>
      <c r="J45" s="1230"/>
      <c r="K45" s="1058"/>
      <c r="L45" s="1228"/>
      <c r="M45" s="1229">
        <f>(IF(M$7="SIM",((M43-M44)*1000000)/$H$2,"-"))</f>
        <v>47.394454139417903</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7"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7"/>
      <c r="C2" s="487"/>
      <c r="D2" s="1097">
        <f>'R-Resumo Bal. Massa'!B30*(1+'R&amp;C-Painel de Controle'!H59)</f>
        <v>232.47</v>
      </c>
      <c r="E2" s="1098" t="s">
        <v>21</v>
      </c>
      <c r="F2" s="1069"/>
      <c r="G2" s="1069"/>
      <c r="H2" s="1305">
        <f>D2*313</f>
        <v>72763.11</v>
      </c>
      <c r="I2" s="1304" t="s">
        <v>298</v>
      </c>
      <c r="J2" s="1069"/>
      <c r="K2" s="1069"/>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7"/>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11" t="s">
        <v>691</v>
      </c>
      <c r="C9" s="1099"/>
      <c r="D9" s="2414" t="s">
        <v>697</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13"/>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f>IF(M7="SIM",((((P15*(($D$2-L11)/(N11-L11))*$H$2/1000)*M21*$D$5*(1+'R&amp;C-Painel de Controle'!$D$61)+(P15*(($D$2-L11)/(N11-L11))*$H$2/1000)*(1-M21)*'R&amp;C-Painel de Controle'!$D$52*(1+'R&amp;C-Painel de Controle'!$D$54)))+(((L15*((N11-$D$2)/(N11-L11))*$H$2/1000)*M21*$D$5*(1+'R&amp;C-Painel de Controle'!$D$61)+(L15*((N11-$D$2)/(N11-L11))*$H$2/1000)*(1-M21)*'R&amp;C-Painel de Controle'!$D$52*(1+'R&amp;C-Painel de Controle'!$D$54))))/1000, "-")</f>
        <v>24.172392666964189</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f>(IF(M$7="SIM",(N17*('R&amp;C-Painel de Controle'!$D$60))/1000000,"-"))</f>
        <v>9.6750000000000007</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f>(IF(M$7="SIM",('R&amp;C-Painel de Controle'!$D$55+0.25)*L17/1000000,"-"))</f>
        <v>1.6125E-3</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f>IF(M7="SIM",(M15+M16)*N18*1000/$H$2,"-")</f>
        <v>1.1629310741034913E-2</v>
      </c>
      <c r="M18" s="1035">
        <f>(IF(M$7="SIM",$H$2*L18/1000,"-"))</f>
        <v>0.84618481667410483</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f>IF(M7="SIM",SUM(M15:M18)*(1+L19),"-")</f>
        <v>36.429949482820213</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f>IF(M7="SIM",M19*1000000/$H$2,"-")</f>
        <v>500.66509640421106</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f>IF(M7="SIM",(M15*N15+M16*N16)/4,"-")</f>
        <v>0.7252473166741048</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f>(IF(M$7="SIM",(M31)*2.4*12/$H$2,"-"))</f>
        <v>11.082538940405378</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f>(IF(M$7="SIM",(M33*$H$2/1000*'R&amp;C-Painel de Controle'!$D$68+M34/1000*'R&amp;C-Painel de Controle'!$D$69*12)/$H$2,"-"))</f>
        <v>0</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f>(IF(M$7="SIM",(M15*1000000*M36+M37*12)/$H$2,"-"))</f>
        <v>24.85627171994448</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f>(IF(M$7="SIM",L38*M39*M40*12/$H$2,"-"))</f>
        <v>0.41229683558055724</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f>(IF(M$7="SIM",2.5+2.5+1*'R&amp;C-Painel de Controle'!$D$74,"-"))</f>
        <v>8</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f>(IF(M$7="SIM",(M27+M32+M35+M38+M41)*(1+L42),"-"))</f>
        <v>48.786218245523457</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f>(IF(M$7="SIM",M42*$H$2/1000000,"-"))</f>
        <v>3.5498369646830303</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f>(IF(M$7="SIM",(((M27*$H$2/12)+(M34/1000*'R&amp;C-Painel de Controle'!$D$69*12)+(M37*12)+(M39*M40*12))/1000000),"-"))</f>
        <v>0.72719999999999996</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f>(IF(M$7="SIM",((M43-M44)*1000000)/$H$2,"-"))</f>
        <v>38.792142951050749</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7"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7"/>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11" t="s">
        <v>691</v>
      </c>
      <c r="C9" s="1099"/>
      <c r="D9" s="2414" t="s">
        <v>698</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13"/>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7"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7"/>
      <c r="C2" s="487"/>
      <c r="D2" s="1097">
        <f>'R-Resumo Bal. Massa'!B35*(1+'R&amp;C-Painel de Controle'!H68)</f>
        <v>228.389475</v>
      </c>
      <c r="E2" s="1098" t="s">
        <v>440</v>
      </c>
      <c r="F2" s="1087"/>
      <c r="G2" s="1087"/>
      <c r="H2" s="1305">
        <f>D2*313</f>
        <v>71485.905675000002</v>
      </c>
      <c r="I2" s="1304" t="s">
        <v>441</v>
      </c>
      <c r="J2" s="1087"/>
      <c r="K2" s="108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198"/>
    </row>
    <row r="3" spans="1:61" ht="19.899999999999999" customHeight="1" x14ac:dyDescent="0.25">
      <c r="A3" s="939"/>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SIM</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11" t="s">
        <v>691</v>
      </c>
      <c r="C9" s="1099"/>
      <c r="D9" s="2414" t="s">
        <v>699</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row>
    <row r="10" spans="1:61" ht="7.5" customHeight="1" x14ac:dyDescent="0.25">
      <c r="A10" s="93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13"/>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f>(IF(Q$7="SIM",(((Q22*P15*1000+(3731520/1)*((Q22/5)/1.5))*Q21*(1+'R&amp;C-Painel de Controle'!$D$61))+((Q22*P15*1000+(3731520/1)*((Q22/5)/1.5))*(1-Q21)/$D$5*'R&amp;C-Painel de Controle'!$D$52*(1+'R&amp;C-Painel de Controle'!$D$54)))/1000000,"-"))</f>
        <v>13.296864468352798</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f>(IF(Q$7="SIM",(((P17-R17)*'R&amp;C-Painel de Controle'!$D$57*0.1)+(R17*('R&amp;C-Painel de Controle'!$D$60*0.25))+(250*(1+'R&amp;C-Painel de Controle'!$D$61)*((500/1)*Q22))+('R&amp;C-Painel de Controle'!$D$6*600*P16/100*(1+'R&amp;C-Painel de Controle'!$D$61)))/1000000,"-"))</f>
        <v>6.2649013913988361</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f>(IF(Q$7="SIM",2*(20*(20+(SQRT(R17))+20))+2*(20*(R17/(SQRT(R17))))+R17,"-"))</f>
        <v>18381.996827976705</v>
      </c>
      <c r="Q17" s="1035">
        <f>(IF(Q$7="SIM",('R&amp;C-Painel de Controle'!$D$55+0.25)*P17/1000000,"-"))</f>
        <v>4.5954992069941764E-3</v>
      </c>
      <c r="R17" s="1119">
        <f>IF(Q7="SIM",(500*Q22)*(1+1/2+1/2),"-")</f>
        <v>9135.5789999999997</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f>IF(Q7="SIM",(Q15+Q16)*R18*1000/$H$2,"-")</f>
        <v>1.3682253638001234E-2</v>
      </c>
      <c r="Q18" s="1035">
        <f>(IF(Q$7="SIM",$H$2*P18/1000,""))</f>
        <v>0.97808829298758182</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f>IF(Q7="SIM",SUM(Q15:Q18)*(1+P19),"-")</f>
        <v>21.571672134543526</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f>IF(Q7="SIM",Q19*1000000/$H$2,"-")</f>
        <v>301.7611923756819</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f>IF(Q7="SIM",($D$2/125)*5,"-")</f>
        <v>9.1355789999999999</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f>IF(Q7="SIM",(Q15*R15+Q16*R16)/4,"-")</f>
        <v>1.2417869083733553</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f>(IF(Q$7="SIM",(Q31)*2.4*12/$H$2,"-"))</f>
        <v>8.4960419982256887</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f>IF(Q7="SIM",(Q22/5)*3,"-")</f>
        <v>5.4813474000000006</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f>IF(Q7="SIM",0.6*'R&amp;C-Painel de Controle'!$D$63*0.25+0.6*Q29*Q30/10*'R&amp;C-Painel de Controle'!$D$64*0.25+Q30*Q29*'R&amp;C-Painel de Controle'!$D$65,"-")</f>
        <v>21088.446420000004</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f>(IF(Q$7="SIM",(Q33*$H$2/1000*'R&amp;C-Painel de Controle'!$D$68+Q34/1000*'R&amp;C-Painel de Controle'!$D$69*12)/$H$2,"-"))</f>
        <v>0</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f>(IF(Q$7="SIM",(Q15*1000000*Q36+Q37*12)/$H$2,"-"))</f>
        <v>8.0074751281916932</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f>(IF(Q$7="SIM",P38*Q39*Q40*12/$H$2,"-"))</f>
        <v>1.04915786254393</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f>(IF(Q$7="SIM",10+0.25*'R&amp;C-Painel de Controle'!$D$74+0.025*'R&amp;C-Painel de Controle'!$D$73,"-"))</f>
        <v>12.074999999999999</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f>(IF(Q$7="SIM",(Q27+Q32+Q35+Q38+Q41)*(1+P42),"-"))</f>
        <v>31.109058738409377</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f>(IF(Q$7="SIM",Q42*$H$2/1000000,"-"))</f>
        <v>2.2238592386119671</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f>(IF(Q$7="SIM",(((Q27*$H$2/12)+(Q34/1000*'R&amp;C-Painel de Controle'!$D$69*12)+(Q37*12)+(Q39*Q40*12))/1000000),"-"))</f>
        <v>0.59061227140799999</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f>(IF(Q$7="SIM",((Q43-Q44)*1000000)/$H$2,"-"))</f>
        <v>22.847118628240938</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7"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7"/>
      <c r="C2" s="487"/>
      <c r="D2" s="1097">
        <f>'R-Resumo Bal. Massa'!B34*(1+'R&amp;C-Painel de Controle'!H65)</f>
        <v>268.69350000000003</v>
      </c>
      <c r="E2" s="1098" t="s">
        <v>21</v>
      </c>
      <c r="F2" s="1087"/>
      <c r="G2" s="1087"/>
      <c r="H2" s="1305">
        <f>D2*313</f>
        <v>84101.065500000012</v>
      </c>
      <c r="I2" s="1304" t="s">
        <v>298</v>
      </c>
      <c r="J2" s="1087"/>
      <c r="K2" s="108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341"/>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11" t="s">
        <v>691</v>
      </c>
      <c r="C9" s="1099"/>
      <c r="D9" s="2414" t="s">
        <v>702</v>
      </c>
      <c r="E9" s="2415"/>
      <c r="F9" s="2415"/>
      <c r="G9" s="2415"/>
      <c r="H9" s="2415"/>
      <c r="I9" s="2415"/>
      <c r="J9" s="2415"/>
      <c r="K9" s="2415"/>
      <c r="L9" s="2415"/>
      <c r="M9" s="2415"/>
      <c r="N9" s="2415"/>
      <c r="O9" s="2415"/>
      <c r="P9" s="2415"/>
      <c r="Q9" s="2415"/>
      <c r="R9" s="2415"/>
      <c r="S9" s="2415"/>
      <c r="T9" s="2415"/>
      <c r="U9" s="2415"/>
      <c r="V9" s="2416"/>
      <c r="W9" s="1299"/>
      <c r="X9" s="1299"/>
      <c r="Y9" s="1299"/>
      <c r="Z9" s="1299"/>
      <c r="AA9" s="1313"/>
      <c r="AB9" s="1079"/>
    </row>
    <row r="10" spans="1:28" ht="7.5" customHeight="1" x14ac:dyDescent="0.25">
      <c r="A10" s="448"/>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13"/>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39.853496658034985</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42.127461830837596</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f>(IF(I$7="SIM",2*(20*(20+(SQRT(J17))+20))+2*(20*(J17/(SQRT(J17))))+J17,"-"))</f>
        <v>50829.211548375315</v>
      </c>
      <c r="I17" s="1035">
        <f>(IF(I$7="SIM",('R&amp;C-Painel de Controle'!$D$55+0.25)*H17/1000000,"-"))</f>
        <v>1.2707302887093829E-2</v>
      </c>
      <c r="J17" s="1119">
        <f>IF(I7="SIM",(I22*I24)/0.0825,"-")</f>
        <v>34392.943810575402</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f>IF(I7="SIM",(I15+I16)*J18*1000/$H$2,"-")</f>
        <v>4.8739548067243316E-2</v>
      </c>
      <c r="I18" s="1035">
        <f>(IF(I$7="SIM",$H$2*H18/1000,""))</f>
        <v>4.0990479244436289</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f>IF(I7="SIM",(SUM(I15:I18)+(IF('R-Definição'!$J$59&gt;0,I52*$H$2,IF('R-Definição'!$J$59&gt;0,I50*$H$2,0)))/1000000)*(1+H19),"-")</f>
        <v>94.70198508782363</v>
      </c>
      <c r="J19" s="1303">
        <f>IF(I7="SIM",(I16)/I19,"-")</f>
        <v>0.44484243695388137</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f>IF(I7="SIM",I19*1000000/$H$2,"-")</f>
        <v>1126.0497655386259</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19.788486000000002</v>
      </c>
      <c r="E22" s="338">
        <f>((($H$2/0.57)/52)*(E23))/(3.5*E24)</f>
        <v>21.495589881609625</v>
      </c>
      <c r="F22" s="378"/>
      <c r="G22" s="933"/>
      <c r="H22" s="387">
        <f>$H$2/4250</f>
        <v>19.788486000000002</v>
      </c>
      <c r="I22" s="338">
        <f>((($H$2/0.57)/52)*(I23))/(3.5*I24)</f>
        <v>19.842082967639655</v>
      </c>
      <c r="J22" s="378"/>
      <c r="K22" s="933"/>
      <c r="L22" s="387">
        <f>$H$2/4250</f>
        <v>19.788486000000002</v>
      </c>
      <c r="M22" s="338">
        <f>((($H$2/0.57)/52)*(M23))/(3.5*M24)</f>
        <v>15.633156277534273</v>
      </c>
      <c r="N22" s="378"/>
      <c r="O22" s="933"/>
      <c r="P22" s="387">
        <f>$H$2/4250</f>
        <v>19.788486000000002</v>
      </c>
      <c r="Q22" s="338">
        <f>((($H$2/0.57)/52)*(Q23))/(3.5*Q24)</f>
        <v>12.897353928965774</v>
      </c>
      <c r="R22" s="378"/>
      <c r="S22" s="933"/>
      <c r="T22" s="387">
        <f>$H$2/4250</f>
        <v>19.788486000000002</v>
      </c>
      <c r="U22" s="338">
        <f>((($H$2/0.57)/52)*(U23))/(3.5*U24)</f>
        <v>9.4580595479082348</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f>IF(I7="SIM",(I15*J15+I16*J16)/4,"-")</f>
        <v>1.5229306893363446</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f>(IF(I$7="SIM",(I34)*2.4*12/$H$2,"-"))</f>
        <v>34.073290070266701</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f>(IF(I$7="SIM",(I36*$H$2/1000*'R&amp;C-Painel de Controle'!$D$68+I37/1000*'R&amp;C-Painel de Controle'!$D$69*12)/$H$2,"-"))</f>
        <v>0</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f>(IF(I$7="SIM",(I15*1000000*I39+I40*12)/$H$2,"-"))</f>
        <v>18.981179453081658</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f>(IF(I$7="SIM",H41*I42*I43*12/$H$2,"-"))</f>
        <v>3.5671367326493617</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f>(IF(I$7="SIM",2.5+2.5*'R&amp;C-Painel de Controle'!$D$74,"-"))</f>
        <v>10</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f>(IF(I$7="SIM",((I30+I35+I38+I41+I44)+(IF('R-Definição'!$J$59&gt;0,I53,IF('R-Definição'!$J$59&gt;0,I51,0))))*(1+H45),"-"))</f>
        <v>68.287146412397661</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f>(IF(I$7="SIM",I45*$H$2/1000000,"-"))</f>
        <v>5.743021773237146</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f>(IF(I$7="SIM",(((I30*$H$2/12)+(I37/1000*'R&amp;C-Painel de Controle'!$D$69*12)+(I40*12)+(I42*I43*12))/1000000),"-"))</f>
        <v>2.0388000000000002</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f>(IF(I$7="SIM",((I46-I47)*1000000)/$H$2,"-"))</f>
        <v>44.044885177312594</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7"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7"/>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7"/>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11" t="s">
        <v>691</v>
      </c>
      <c r="C9" s="1099"/>
      <c r="D9" s="2414" t="s">
        <v>448</v>
      </c>
      <c r="E9" s="2415"/>
      <c r="F9" s="2415"/>
      <c r="G9" s="2415"/>
      <c r="H9" s="2415"/>
      <c r="I9" s="2415"/>
      <c r="J9" s="2415"/>
      <c r="K9" s="2415"/>
      <c r="L9" s="2415"/>
      <c r="M9" s="2415"/>
      <c r="N9" s="2415"/>
      <c r="O9" s="2415"/>
      <c r="P9" s="2415"/>
      <c r="Q9" s="2415"/>
      <c r="R9" s="2415"/>
      <c r="S9" s="2415"/>
      <c r="T9" s="2415"/>
      <c r="U9" s="2415"/>
      <c r="V9" s="2416"/>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13"/>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7"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7"/>
      <c r="C2" s="487"/>
      <c r="D2" s="1097">
        <f>IF('R-Definição'!E121="Novo",('R-Resumo Bal. Massa'!B47+'R&amp;C-Painel de Controle'!D31)*(1+'R&amp;C-Painel de Controle'!H74),0)</f>
        <v>288.62261875000002</v>
      </c>
      <c r="E2" s="1098" t="s">
        <v>21</v>
      </c>
      <c r="F2" s="1307"/>
      <c r="G2" s="1307"/>
      <c r="H2" s="1305">
        <f>D2*313</f>
        <v>90338.87966875</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7"/>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11" t="s">
        <v>691</v>
      </c>
      <c r="C9" s="1099"/>
      <c r="D9" s="2414" t="s">
        <v>451</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A10" s="476"/>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13"/>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1.2464759189715937</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15.785050744018783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4.6373887931373439</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21.668915456127721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239.86256565923992</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8.0315432173712953</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18.105956388384108</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2.1821520732224142</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1.2392705768534698</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0.94288149636894425</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1.7371915612121529E-2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1.7371915612121529E-2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0.19855040436429106</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5.0583870314794437E-2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6.9979042278949924E-2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2.4496248492187496E-3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7.5537866921327954E-2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1.8426990673302872</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1.1513359184926382</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5.3411527340077931E-2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6.5337177777343755E-2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0.5726144437202273</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3.2947009612168783</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2.8961052739825033</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0.17620410874687498</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0.22239157848749999</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91.754756028792414</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8.2890218639205919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2.4144705026433302</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65.027941267566831</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Planilha1</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2022-07-18T17:37:15Z</dcterms:modified>
</cp:coreProperties>
</file>