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46E3716F-2794-4D21-BB22-8AA22A0F9B2C}" xr6:coauthVersionLast="47" xr6:coauthVersionMax="47" xr10:uidLastSave="{00000000-0000-0000-0000-000000000000}"/>
  <bookViews>
    <workbookView xWindow="28680" yWindow="-120" windowWidth="29040" windowHeight="15840" tabRatio="882" firstSheet="2" activeTab="7"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Planilha1" sheetId="23" r:id="rId12"/>
    <sheet name="C-Triagem Man" sheetId="13" r:id="rId13"/>
    <sheet name="C-Triagem Mec" sheetId="14" r:id="rId14"/>
    <sheet name="C-Produção CDR-TM" sheetId="15" r:id="rId15"/>
    <sheet name="C-Produção CDR-TMB" sheetId="16" r:id="rId16"/>
    <sheet name="C-Compostagem" sheetId="17" r:id="rId17"/>
    <sheet name="C-Biodigestão" sheetId="18" r:id="rId18"/>
    <sheet name="C-Incineração" sheetId="19" r:id="rId19"/>
    <sheet name="C-Aterro Sanitário" sheetId="20" r:id="rId20"/>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9" i="8" l="1"/>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V17" i="18"/>
  <c r="T17" i="18" s="1"/>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8"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U45" i="18" l="1"/>
  <c r="U46" i="18" s="1"/>
  <c r="U48" i="18" s="1"/>
  <c r="U16" i="18"/>
  <c r="U17" i="18"/>
  <c r="E45" i="18"/>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T18" i="18" l="1"/>
  <c r="U18" i="18" s="1"/>
  <c r="U19" i="18" s="1"/>
  <c r="U20" i="18" s="1"/>
  <c r="U26" i="18"/>
  <c r="M19" i="18"/>
  <c r="E19" i="18"/>
  <c r="H18" i="17"/>
  <c r="I18" i="17" s="1"/>
  <c r="I19" i="17" s="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31" i="20" s="1"/>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18" i="20" l="1"/>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l="1"/>
  <c r="C106" i="22" s="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8" i="22" l="1"/>
  <c r="C139" i="22" s="1"/>
  <c r="C135" i="22"/>
  <c r="C132" i="22"/>
  <c r="C119" i="22"/>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60" i="11" s="1"/>
  <c r="N157" i="11"/>
  <c r="O42" i="22" s="1"/>
  <c r="N161" i="11"/>
  <c r="N162" i="11" s="1"/>
  <c r="O39" i="22"/>
  <c r="O40" i="22" s="1"/>
  <c r="O154" i="11"/>
  <c r="O156" i="11" s="1"/>
  <c r="S33" i="22"/>
  <c r="S36" i="22" s="1"/>
  <c r="S37" i="22" s="1"/>
  <c r="P34" i="22"/>
  <c r="N180" i="11"/>
  <c r="N181" i="11" s="1"/>
  <c r="N178" i="11"/>
  <c r="N179" i="11" s="1"/>
  <c r="Q36" i="22"/>
  <c r="Q37" i="22" s="1"/>
  <c r="Q34" i="22"/>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S148" i="11"/>
  <c r="W30" i="22"/>
  <c r="W31" i="22" s="1"/>
  <c r="T149" i="11"/>
  <c r="P157" i="11" l="1"/>
  <c r="Q42" i="22" s="1"/>
  <c r="P162" i="11"/>
  <c r="O176" i="11"/>
  <c r="P176" i="11" s="1"/>
  <c r="O178" i="11"/>
  <c r="O179" i="11" s="1"/>
  <c r="P178" i="11"/>
  <c r="P180" i="11"/>
  <c r="P181" i="11" s="1"/>
  <c r="R39" i="22"/>
  <c r="R40" i="22" s="1"/>
  <c r="P160" i="11"/>
  <c r="W27" i="22"/>
  <c r="W28" i="22" s="1"/>
  <c r="S151" i="11"/>
  <c r="S153" i="11" s="1"/>
  <c r="U34" i="22"/>
  <c r="U36" i="22"/>
  <c r="U37" i="22" s="1"/>
  <c r="X30" i="22"/>
  <c r="X31" i="22" s="1"/>
  <c r="T148" i="11"/>
  <c r="U149" i="11"/>
  <c r="U39" i="22"/>
  <c r="U40" i="22" s="1"/>
  <c r="Q161" i="11"/>
  <c r="Q159" i="11"/>
  <c r="R154" i="11"/>
  <c r="R156" i="11" s="1"/>
  <c r="R175" i="11" s="1"/>
  <c r="V33" i="22"/>
  <c r="Q157" i="11" l="1"/>
  <c r="R42" i="22" s="1"/>
  <c r="T42" i="22"/>
  <c r="Q162" i="11"/>
  <c r="P164" i="11"/>
  <c r="O183" i="11"/>
  <c r="P183" i="11" s="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U42" i="22"/>
  <c r="Q176" i="11"/>
  <c r="Y30" i="22"/>
  <c r="Y31" i="22" s="1"/>
  <c r="U148" i="11"/>
  <c r="V149" i="11"/>
  <c r="Q164" i="11" l="1"/>
  <c r="R157" i="11"/>
  <c r="R162" i="1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family val="2"/>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<sst xmlns="http://schemas.openxmlformats.org/spreadsheetml/2006/main" count="2692" uniqueCount="1131">
  <si>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</si>
  <si>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</si>
  <si>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</si>
  <si>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</si>
  <si>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</si>
  <si>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</si>
  <si>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</si>
  <si>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</si>
  <si>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</si>
  <si>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</si>
  <si>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</si>
  <si>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</si>
  <si>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</si>
  <si>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</si>
  <si>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</si>
  <si>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</si>
  <si>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</si>
  <si>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</si>
  <si>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</si>
  <si>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</si>
  <si>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</si>
  <si>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</si>
  <si>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</si>
  <si>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</si>
  <si>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</si>
  <si>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</si>
  <si>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</si>
  <si>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</si>
  <si>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</si>
  <si>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</si>
  <si>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</si>
  <si>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</si>
  <si>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</si>
  <si>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</si>
  <si>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</si>
  <si>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</si>
  <si>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</si>
  <si>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</si>
  <si>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</si>
  <si>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</si>
  <si>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</si>
  <si>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</si>
  <si>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</si>
  <si>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</si>
  <si>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</si>
  <si>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</si>
  <si>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</si>
  <si>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</si>
  <si>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</si>
  <si>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</si>
  <si>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</si>
  <si>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</si>
  <si>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</si>
  <si>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</si>
  <si>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</si>
  <si>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</si>
  <si>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</si>
  <si>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</si>
  <si>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</si>
  <si>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</si>
  <si>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</si>
  <si>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</si>
  <si>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</si>
  <si>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</si>
  <si>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</si>
  <si>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</si>
  <si>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</si>
  <si>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</si>
  <si>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</si>
  <si>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</si>
  <si>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</si>
  <si>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</si>
  <si>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</si>
  <si>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</si>
  <si>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</si>
  <si>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</si>
  <si>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</si>
  <si>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</si>
  <si>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</si>
  <si>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</si>
  <si>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</si>
  <si>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</si>
  <si>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</si>
  <si>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</si>
  <si>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</si>
  <si>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</si>
  <si>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</si>
  <si>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</si>
  <si>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</si>
  <si>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</si>
  <si>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</si>
  <si>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</si>
  <si>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</si>
  <si>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</si>
  <si>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</si>
  <si>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</si>
  <si>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</si>
  <si>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</si>
  <si>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</si>
  <si>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</si>
  <si>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</si>
  <si>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</si>
  <si>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</si>
  <si>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</si>
  <si>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</si>
  <si>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</si>
  <si>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</si>
  <si>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</si>
  <si>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</si>
  <si>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</si>
  <si>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</si>
  <si>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</si>
  <si>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</si>
  <si>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</si>
  <si>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</si>
  <si>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</si>
  <si>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</si>
  <si>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</si>
  <si>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</si>
  <si>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</si>
  <si>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</si>
  <si>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</si>
  <si>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</si>
  <si>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</si>
  <si>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</si>
  <si>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</si>
  <si>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</si>
  <si>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</si>
  <si>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</si>
  <si>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</si>
  <si>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</si>
  <si>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</si>
  <si>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</si>
  <si>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</si>
  <si>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</si>
  <si>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</si>
  <si>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</si>
  <si>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</si>
  <si>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</si>
  <si>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</si>
  <si>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</si>
  <si>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</si>
  <si>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</si>
  <si>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</si>
  <si>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</si>
  <si>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</si>
  <si>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</si>
  <si>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</si>
  <si>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</si>
  <si>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</si>
  <si>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</si>
  <si>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</si>
  <si>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</si>
  <si>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</si>
  <si>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</si>
  <si>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</si>
  <si>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</si>
  <si>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</si>
  <si>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</si>
  <si>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</si>
  <si>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</si>
  <si>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</si>
  <si>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</si>
  <si>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</si>
  <si>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</si>
  <si>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</si>
  <si>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</si>
  <si>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</si>
  <si>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</si>
  <si>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</si>
  <si>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</si>
  <si>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</si>
  <si>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</si>
  <si>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</si>
  <si>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</si>
  <si>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</si>
  <si>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</si>
  <si>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</si>
  <si>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</si>
  <si>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</si>
  <si>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</si>
  <si>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</si>
  <si>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</si>
  <si>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</si>
  <si>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</si>
  <si>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</si>
  <si>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</si>
  <si>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</si>
  <si>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</si>
  <si>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</si>
  <si>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</si>
  <si>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</si>
  <si>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</si>
  <si>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</si>
  <si>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</si>
  <si>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</si>
  <si>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</si>
  <si>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</si>
  <si>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</si>
  <si>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</si>
  <si>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</si>
  <si>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</si>
  <si>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</si>
  <si>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</si>
  <si>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</si>
  <si>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</si>
  <si>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</si>
  <si>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</si>
  <si>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</si>
  <si>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</si>
  <si>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</si>
  <si>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</si>
  <si>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</si>
  <si>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</si>
  <si>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</si>
  <si>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</si>
  <si>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</si>
  <si>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</si>
  <si>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</si>
  <si>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</si>
  <si>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</si>
  <si>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</si>
  <si>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</si>
  <si>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</si>
  <si>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</si>
  <si>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</si>
  <si>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</si>
  <si>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</si>
  <si>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</si>
  <si>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</si>
  <si>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</si>
  <si>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</si>
  <si>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</si>
  <si>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</si>
  <si>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</si>
  <si>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</si>
  <si>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</si>
  <si>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</si>
  <si>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</si>
  <si>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</si>
  <si>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</si>
  <si>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</si>
  <si>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</si>
  <si>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</si>
  <si>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</si>
  <si>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</si>
  <si>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</si>
  <si>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</si>
  <si>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</si>
  <si>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</si>
  <si>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</si>
  <si>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</si>
  <si>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</si>
  <si>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</si>
  <si>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</si>
  <si>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</si>
  <si>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</si>
  <si>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</si>
  <si>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</si>
  <si>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</si>
  <si>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</si>
  <si>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</si>
  <si>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</si>
  <si>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</si>
  <si>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</si>
  <si>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</si>
  <si>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</si>
  <si>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</si>
  <si>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</si>
  <si>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</si>
  <si>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</si>
  <si>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</si>
  <si>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</si>
  <si>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</si>
  <si>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</si>
  <si>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</si>
  <si>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</si>
  <si>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</si>
  <si>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</si>
  <si>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</si>
  <si>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</si>
  <si>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</si>
  <si>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</si>
  <si>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</si>
  <si>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</si>
  <si>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</si>
  <si>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</si>
  <si>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</si>
  <si>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</si>
  <si>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</si>
  <si>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</si>
  <si>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</si>
  <si>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</si>
  <si>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</si>
  <si>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</si>
  <si>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</si>
  <si>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</si>
  <si>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</si>
  <si>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</si>
  <si>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</si>
  <si>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</si>
  <si>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</si>
  <si>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</si>
  <si>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</si>
  <si>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</si>
  <si>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</si>
  <si>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</si>
  <si>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</si>
  <si>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</si>
  <si>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</si>
  <si>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</si>
  <si>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</si>
  <si>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</si>
  <si>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</si>
  <si>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</si>
  <si>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</si>
  <si>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</si>
  <si>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</si>
  <si>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</si>
  <si>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</si>
  <si>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</si>
  <si>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</si>
  <si>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</si>
  <si>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</si>
  <si>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</si>
  <si>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</si>
  <si>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</si>
  <si>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</si>
  <si>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</si>
  <si>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</si>
  <si>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</si>
  <si>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</si>
  <si>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</si>
  <si>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</si>
  <si>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</si>
  <si>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</si>
  <si>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</si>
  <si>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</si>
  <si>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</si>
  <si>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</si>
  <si>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</si>
  <si>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</si>
  <si>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</si>
  <si>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</si>
  <si>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</si>
  <si>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</si>
  <si>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</si>
  <si>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</si>
  <si>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</si>
  <si>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</si>
  <si>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</si>
  <si>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</si>
  <si>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</si>
  <si>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</si>
  <si>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</si>
  <si>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</si>
  <si>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</si>
  <si>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</si>
  <si>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</si>
  <si>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</si>
  <si>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</si>
  <si>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</si>
  <si>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</si>
  <si>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</si>
  <si>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</si>
  <si>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</si>
  <si>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</si>
  <si>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</si>
  <si>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</si>
  <si>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</si>
  <si>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</si>
  <si>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</si>
  <si>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</si>
  <si>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</si>
  <si>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</si>
  <si>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</si>
  <si>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</si>
  <si>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</si>
  <si>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</si>
  <si>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</si>
  <si>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</si>
  <si>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</si>
  <si>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</si>
  <si>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</si>
  <si>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</si>
  <si>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</si>
  <si>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</si>
  <si>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</si>
  <si>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</si>
  <si>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</si>
  <si>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</si>
  <si>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</si>
  <si>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</si>
  <si>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</si>
  <si>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</si>
  <si>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</si>
  <si>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</si>
  <si>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</si>
  <si>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</si>
  <si>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</si>
  <si>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</si>
  <si>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</si>
  <si>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</si>
  <si>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</si>
  <si>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</si>
  <si>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</si>
  <si>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</si>
  <si>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</si>
  <si>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</si>
  <si>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</si>
  <si>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</si>
  <si>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</si>
  <si>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</si>
  <si>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</si>
  <si>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</si>
  <si>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</si>
  <si>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</si>
  <si>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</si>
  <si>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</si>
  <si>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</si>
  <si>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</si>
  <si>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</si>
  <si>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</si>
  <si>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</si>
  <si>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</si>
  <si>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</si>
  <si>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</si>
  <si>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</si>
  <si>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</si>
  <si>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</si>
  <si>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</si>
  <si>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</si>
  <si>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</si>
  <si>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</si>
  <si>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</si>
  <si>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</si>
  <si>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</si>
  <si>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</si>
  <si>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</si>
  <si>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</si>
  <si>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</si>
  <si>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</si>
  <si>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</si>
  <si>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</si>
  <si>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</si>
  <si>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</si>
  <si>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</si>
  <si>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</si>
  <si>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</si>
  <si>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</si>
  <si>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</si>
  <si>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</si>
  <si>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</si>
  <si>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</si>
  <si>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</si>
  <si>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</si>
  <si>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</si>
  <si>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</si>
  <si>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</si>
  <si>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</si>
  <si>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</si>
  <si>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</si>
  <si>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</si>
  <si>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</si>
  <si>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</si>
  <si>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</si>
  <si>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</si>
  <si>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</si>
  <si>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</si>
  <si>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</si>
  <si>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</si>
  <si>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</si>
  <si>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</si>
  <si>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</si>
  <si>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</si>
  <si>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</si>
  <si>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</si>
  <si>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</si>
  <si>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</si>
  <si>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</si>
  <si>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</si>
  <si>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</si>
  <si>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</si>
  <si>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</si>
  <si>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</si>
  <si>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</si>
  <si>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</si>
  <si>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</si>
  <si>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</si>
  <si>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</si>
  <si>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</si>
  <si>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</si>
  <si>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</si>
  <si>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</si>
  <si>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</si>
  <si>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</si>
  <si>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</si>
  <si>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</si>
  <si>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</si>
  <si>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</si>
  <si>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</si>
  <si>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</si>
  <si>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</si>
  <si>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</si>
  <si>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</si>
  <si>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</si>
  <si>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</si>
  <si>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</si>
  <si>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</si>
  <si>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</si>
  <si>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</si>
  <si>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</si>
  <si>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</si>
  <si>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</si>
  <si>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</si>
  <si>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</si>
  <si>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</si>
  <si>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</si>
  <si>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</si>
  <si>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</si>
  <si>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</si>
  <si>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</si>
  <si>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</si>
  <si>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</si>
  <si>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</si>
  <si>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</si>
  <si>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</si>
  <si>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</si>
  <si>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</si>
  <si>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</si>
  <si>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</si>
  <si>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</si>
  <si>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</si>
  <si>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</si>
  <si>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</si>
  <si>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</si>
  <si>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</si>
  <si>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</si>
  <si>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</si>
  <si>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</si>
  <si>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</si>
  <si>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</si>
  <si>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</si>
  <si>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</si>
  <si>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</si>
  <si>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</si>
  <si>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</si>
  <si>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</si>
  <si>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</si>
  <si>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</si>
  <si>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</si>
  <si>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</si>
  <si>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</si>
  <si>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</si>
  <si>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</si>
  <si>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</si>
  <si>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</si>
  <si>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</si>
  <si>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</si>
  <si>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</si>
  <si>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</si>
  <si>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</si>
  <si>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</si>
  <si>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</si>
  <si>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</si>
  <si>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</si>
  <si>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</si>
  <si>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</si>
  <si>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</si>
  <si>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</si>
  <si>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</si>
  <si>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</si>
  <si>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</si>
  <si>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</si>
  <si>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</si>
  <si>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</si>
  <si>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</si>
  <si>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</si>
  <si>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</si>
  <si>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</si>
  <si>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</si>
  <si>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</si>
  <si>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</si>
  <si>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</si>
  <si>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</si>
  <si>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</si>
  <si>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</si>
  <si>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</si>
  <si>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</si>
  <si>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</si>
  <si>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</si>
  <si>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</si>
  <si>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</si>
  <si>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</si>
  <si>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</si>
  <si>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</si>
  <si>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</si>
  <si>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</si>
  <si>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</si>
  <si>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</si>
  <si>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</si>
  <si>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</si>
  <si>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</si>
  <si>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</si>
  <si>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</si>
  <si>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</si>
  <si>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</si>
  <si>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</si>
  <si>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</si>
  <si>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</si>
  <si>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</si>
  <si>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</si>
  <si>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</si>
  <si>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</si>
  <si>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</si>
  <si>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</si>
  <si>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</si>
  <si>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</si>
  <si>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</si>
  <si>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</si>
  <si>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</si>
  <si>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</si>
  <si>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</si>
  <si>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</si>
  <si>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</si>
  <si>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</si>
  <si>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</si>
  <si>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</si>
  <si>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</si>
  <si>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</si>
  <si>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</si>
  <si>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</si>
  <si>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</si>
  <si>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</si>
  <si>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</si>
  <si>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</si>
  <si>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</si>
  <si>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</si>
  <si>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</si>
  <si>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</si>
  <si>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</si>
  <si>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</si>
  <si>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</si>
  <si>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</si>
  <si>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</si>
  <si>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</si>
  <si>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</si>
  <si>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</si>
  <si>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</si>
  <si>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</si>
  <si>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</si>
  <si>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</si>
  <si>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</si>
  <si>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</si>
  <si>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</si>
  <si>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</si>
  <si>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</si>
  <si>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</si>
  <si>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</si>
  <si>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</si>
  <si>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</si>
  <si>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</si>
  <si>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</si>
  <si>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</si>
  <si>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</si>
  <si>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</si>
  <si>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</si>
  <si>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</si>
  <si>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</si>
  <si>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</si>
  <si>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</si>
  <si>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</si>
  <si>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</si>
  <si>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</si>
  <si>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</si>
  <si>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</si>
  <si>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</si>
  <si>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</si>
  <si>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</si>
  <si>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</si>
  <si>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</si>
  <si>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</si>
  <si>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</si>
  <si>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</si>
  <si>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</si>
  <si>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</si>
  <si>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</si>
  <si>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</si>
  <si>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</si>
  <si>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</si>
  <si>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</si>
  <si>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</si>
  <si>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</si>
  <si>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</si>
  <si>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</si>
  <si>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</si>
  <si>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</si>
  <si>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</si>
  <si>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</si>
  <si>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</si>
  <si>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</si>
  <si>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</si>
  <si>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</si>
  <si>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</si>
  <si>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</si>
  <si>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</si>
  <si>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</si>
  <si>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</si>
  <si>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</si>
  <si>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</si>
  <si>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</si>
  <si>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</si>
  <si>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</si>
  <si>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</si>
  <si>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</si>
  <si>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</si>
  <si>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</si>
  <si>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</si>
  <si>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</si>
  <si>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</si>
  <si>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</si>
  <si>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</si>
  <si>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</si>
  <si>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</si>
  <si>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</si>
  <si>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</si>
  <si>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</si>
  <si>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</si>
  <si>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</si>
  <si>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</si>
  <si>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</si>
  <si>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</si>
  <si>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</si>
  <si>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</si>
  <si>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</si>
  <si>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</si>
  <si>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</si>
  <si>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</si>
  <si>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</si>
  <si>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</si>
  <si>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</si>
  <si>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</si>
  <si>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</si>
  <si>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</si>
  <si>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</si>
  <si>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</si>
  <si>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</si>
  <si>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</si>
  <si>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</si>
  <si>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</si>
  <si>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</si>
  <si>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</si>
  <si>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</si>
  <si>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</si>
  <si>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</si>
  <si>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</si>
  <si>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</si>
  <si>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</si>
  <si>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</si>
  <si>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</si>
  <si>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</si>
  <si>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</si>
  <si>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</si>
  <si>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</si>
  <si>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</si>
  <si>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</si>
  <si>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</si>
  <si>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</si>
  <si>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</si>
  <si>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</si>
  <si>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</si>
  <si>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</si>
  <si>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</si>
  <si>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</si>
  <si>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</si>
  <si>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</si>
  <si>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</si>
  <si>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</si>
  <si>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</si>
  <si>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</si>
  <si>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</si>
  <si>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</si>
  <si>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</si>
  <si>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</si>
  <si>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</si>
  <si>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</si>
  <si>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</si>
  <si>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</si>
  <si>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</si>
  <si>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</si>
  <si>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</si>
  <si>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</si>
  <si>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</si>
  <si>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</si>
  <si>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</si>
  <si>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</si>
  <si>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</si>
  <si>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</si>
  <si>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</si>
  <si>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</si>
  <si>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</si>
  <si>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</si>
  <si>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</si>
  <si>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</si>
  <si>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</si>
  <si>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</si>
  <si>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</si>
  <si>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</si>
  <si>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</si>
  <si>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</si>
  <si>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</si>
  <si>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</si>
  <si>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</si>
  <si>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</si>
  <si>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</si>
  <si>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</si>
  <si>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</si>
  <si>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</si>
  <si>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</si>
  <si>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</si>
  <si>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</si>
  <si>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</si>
  <si>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</si>
  <si>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</si>
  <si>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</si>
  <si>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</si>
  <si>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</si>
  <si>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</si>
  <si>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</si>
  <si>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</si>
  <si>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</si>
  <si>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</si>
  <si>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</si>
  <si>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</si>
  <si>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</si>
  <si>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</si>
  <si>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</si>
  <si>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</si>
  <si>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</si>
  <si>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</si>
  <si>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</si>
  <si>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</si>
  <si>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</si>
  <si>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</si>
  <si>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</si>
  <si>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</si>
  <si>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</si>
  <si>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</si>
  <si>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</si>
  <si>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</si>
  <si>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</si>
  <si>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</si>
  <si>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</si>
  <si>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</si>
  <si>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</si>
  <si>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</si>
  <si>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</si>
  <si>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</si>
  <si>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</si>
  <si>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</si>
  <si>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</si>
  <si>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</si>
  <si>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</si>
  <si>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</si>
  <si>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</si>
  <si>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</si>
  <si>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</si>
  <si>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</si>
  <si>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</si>
  <si>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</si>
  <si>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</si>
  <si>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</si>
  <si>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</si>
  <si>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</si>
  <si>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</si>
  <si>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</si>
  <si>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</si>
  <si>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</si>
  <si>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</si>
  <si>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</si>
  <si>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</si>
  <si>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</si>
  <si>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</si>
  <si>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</si>
  <si>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</si>
  <si>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</si>
  <si>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</si>
  <si>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</si>
  <si>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</si>
  <si>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</si>
  <si>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</si>
  <si>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</si>
  <si>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</si>
  <si>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</si>
  <si>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</si>
  <si>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</si>
  <si>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</si>
  <si>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</si>
  <si>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</si>
  <si>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</si>
  <si>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</si>
  <si>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</si>
  <si>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</si>
  <si>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</si>
  <si>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</si>
  <si>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</si>
  <si>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</si>
  <si>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</si>
  <si>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</si>
  <si>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</si>
  <si>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</si>
  <si>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</si>
  <si>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</si>
  <si>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</si>
  <si>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</si>
  <si>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</si>
  <si>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</si>
  <si>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</si>
  <si>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</si>
  <si>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</si>
  <si>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</si>
  <si>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</si>
  <si>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</si>
  <si>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</si>
  <si>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</si>
  <si>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</si>
  <si>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</si>
  <si>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</si>
  <si>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</si>
  <si>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</si>
  <si>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</si>
  <si>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</si>
  <si>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</si>
  <si>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</si>
  <si>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</si>
  <si>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</si>
  <si>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</si>
  <si>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</si>
  <si>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</si>
  <si>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</si>
  <si>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</si>
  <si>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</si>
  <si>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</si>
  <si>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</si>
  <si>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</si>
  <si>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</si>
  <si>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</si>
  <si>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</si>
  <si>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</si>
  <si>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</si>
  <si>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</si>
  <si>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</si>
  <si>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</si>
  <si>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</si>
  <si>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</si>
  <si>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</si>
  <si>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</si>
  <si>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</si>
  <si>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</si>
  <si>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</si>
  <si>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</si>
  <si>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</si>
  <si>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</si>
  <si>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</si>
  <si>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</si>
  <si>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</si>
  <si>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</si>
  <si>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</si>
  <si>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</si>
  <si>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</si>
  <si>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</si>
  <si>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</si>
  <si>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</si>
  <si>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</si>
  <si>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</si>
  <si>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</si>
  <si>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</si>
  <si>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</si>
  <si>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</si>
  <si>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</si>
  <si>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</si>
  <si>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</si>
  <si>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</si>
  <si>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</si>
  <si>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</si>
  <si>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</si>
  <si>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</si>
  <si>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</si>
  <si>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</si>
  <si>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</si>
  <si>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</si>
  <si>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</si>
  <si>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</si>
  <si>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</si>
  <si>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</si>
  <si>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</si>
  <si>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</si>
  <si>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</si>
  <si>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</si>
  <si>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</si>
  <si>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</si>
  <si>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</si>
  <si>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</si>
  <si>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</si>
  <si>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</si>
  <si>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</si>
  <si>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</si>
  <si>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</si>
  <si>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</si>
  <si>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</si>
  <si>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</si>
  <si>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</si>
  <si>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</si>
  <si>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</si>
  <si>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</si>
  <si>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</si>
  <si>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</si>
  <si>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</si>
  <si>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</si>
  <si>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</si>
  <si>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</si>
  <si>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</si>
  <si>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</si>
  <si>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</si>
  <si>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</si>
  <si>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</si>
  <si>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</si>
  <si>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</si>
  <si>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</si>
  <si>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</si>
  <si>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</si>
  <si>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</si>
  <si>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</si>
  <si>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</si>
  <si>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</si>
  <si>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</si>
  <si>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</si>
  <si>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</si>
  <si>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</si>
  <si>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</si>
  <si>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</si>
  <si>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</si>
  <si>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</si>
  <si>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</si>
  <si>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</si>
  <si>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</si>
  <si>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</si>
  <si>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</si>
  <si>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</si>
  <si>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</si>
  <si>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</si>
  <si>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</si>
  <si>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</si>
  <si>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</si>
  <si>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</si>
  <si>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</si>
  <si>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</si>
  <si>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</si>
  <si>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</si>
  <si>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</si>
  <si>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</si>
  <si>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</si>
  <si>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</si>
  <si>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</si>
  <si>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</si>
  <si>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</si>
  <si>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</si>
  <si>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</si>
  <si>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</si>
  <si>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</si>
  <si>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</si>
  <si>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</si>
  <si>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</si>
  <si>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</si>
  <si>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</si>
  <si>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</si>
  <si>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</si>
  <si>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</si>
  <si>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</si>
  <si>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</si>
  <si>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</si>
  <si>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</si>
  <si>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</si>
  <si>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</si>
  <si>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</si>
  <si>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</si>
  <si>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</si>
  <si>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</si>
  <si>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</si>
  <si>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</si>
  <si>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</si>
  <si>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</si>
  <si>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</si>
  <si>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</si>
  <si>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</si>
  <si>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</si>
  <si>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</si>
  <si>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</si>
  <si>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</si>
  <si>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</si>
  <si>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</si>
  <si>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</si>
  <si>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</si>
  <si>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</si>
  <si>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</si>
  <si>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</si>
  <si>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</si>
  <si>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</si>
  <si>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</si>
  <si>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</si>
  <si>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</si>
  <si>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</si>
  <si>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</si>
  <si>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</si>
  <si>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</si>
  <si>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</si>
  <si>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</si>
  <si>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</si>
  <si>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</si>
  <si>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</si>
  <si>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</si>
  <si>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</si>
  <si>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</si>
  <si>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</si>
  <si>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</si>
  <si>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</si>
  <si>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RT1</t>
  </si>
  <si>
    <t>Opex</t>
  </si>
  <si>
    <t>RT2</t>
  </si>
  <si>
    <t>RT3</t>
  </si>
  <si>
    <t>RT4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</si>
</sst>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8">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0" fillId="0" borderId="170" xfId="0" applyNumberFormat="1" applyBorder="1" applyAlignment="1">
      <alignment horizontal="center" vertical="center"/>
    </xf>
    <xf numFmtId="3" fontId="7" fillId="0" borderId="230" xfId="0" applyNumberFormat="1" applyFont="1" applyBorder="1" applyAlignment="1">
      <alignment horizontal="center" vertical="center"/>
    </xf>
    <xf numFmtId="0" fontId="0" fillId="0" borderId="0" xfId="0" applyFont="1" applyAlignment="1"/>
    <xf numFmtId="1" fontId="0" fillId="0" borderId="0" xfId="0" applyNumberFormat="1" applyFont="1" applyAlignment="1"/>
    <xf numFmtId="3" fontId="0" fillId="0" borderId="0" xfId="0" applyNumberFormat="1" applyFont="1" applyAlignment="1"/>
    <xf numFmtId="1" fontId="0" fillId="0" borderId="0" xfId="0" applyNumberFormat="1" applyFont="1" applyAlignment="1">
      <alignment horizont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0</c:v>
                </c:pt>
                <c:pt idx="3">
                  <c:v>0</c:v>
                </c:pt>
                <c:pt idx="4">
                  <c:v>0</c:v>
                </c:pt>
                <c:pt idx="5">
                  <c:v>568.61503822429859</c:v>
                </c:pt>
                <c:pt idx="6">
                  <c:v>0</c:v>
                </c:pt>
                <c:pt idx="7">
                  <c:v>0</c:v>
                </c:pt>
                <c:pt idx="8">
                  <c:v>49.895794571891358</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0</c:v>
                </c:pt>
                <c:pt idx="3">
                  <c:v>0</c:v>
                </c:pt>
                <c:pt idx="4">
                  <c:v>0</c:v>
                </c:pt>
                <c:pt idx="5">
                  <c:v>1297.318326299664</c:v>
                </c:pt>
                <c:pt idx="6">
                  <c:v>0</c:v>
                </c:pt>
                <c:pt idx="7">
                  <c:v>0</c:v>
                </c:pt>
                <c:pt idx="8">
                  <c:v>124.59286892594994</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42.79999999999999</c:v>
                </c:pt>
                <c:pt idx="1">
                  <c:v>0</c:v>
                </c:pt>
                <c:pt idx="2">
                  <c:v>0</c:v>
                </c:pt>
                <c:pt idx="3">
                  <c:v>0</c:v>
                </c:pt>
                <c:pt idx="4">
                  <c:v>0</c:v>
                </c:pt>
                <c:pt idx="5">
                  <c:v>21.420882045168547</c:v>
                </c:pt>
                <c:pt idx="6">
                  <c:v>0</c:v>
                </c:pt>
                <c:pt idx="7">
                  <c:v>0</c:v>
                </c:pt>
                <c:pt idx="8">
                  <c:v>19.138248465086267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0</c:v>
                </c:pt>
                <c:pt idx="3">
                  <c:v>0</c:v>
                </c:pt>
                <c:pt idx="4">
                  <c:v>0</c:v>
                </c:pt>
                <c:pt idx="5">
                  <c:v>48.872613234929112</c:v>
                </c:pt>
                <c:pt idx="6">
                  <c:v>0</c:v>
                </c:pt>
                <c:pt idx="7">
                  <c:v>0</c:v>
                </c:pt>
                <c:pt idx="8" formatCode="0">
                  <c:v>47.789383913850941</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51.334528479498402</c:v>
                </c:pt>
                <c:pt idx="4" formatCode="#,##0">
                  <c:v>0</c:v>
                </c:pt>
                <c:pt idx="5" formatCode="#,##0">
                  <c:v>118.63004259018824</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5000</c:v>
                </c:pt>
                <c:pt idx="1">
                  <c:v>0</c:v>
                </c:pt>
                <c:pt idx="2">
                  <c:v>5016.0256410256407</c:v>
                </c:pt>
                <c:pt idx="3">
                  <c:v>1896.0576923076924</c:v>
                </c:pt>
                <c:pt idx="4">
                  <c:v>0</c:v>
                </c:pt>
                <c:pt idx="5">
                  <c:v>2191.5016025641025</c:v>
                </c:pt>
                <c:pt idx="6">
                  <c:v>1862.776362179487</c:v>
                </c:pt>
                <c:pt idx="7">
                  <c:v>0</c:v>
                </c:pt>
                <c:pt idx="8">
                  <c:v>1935.9562500000004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-142.2875742080528</c:v>
                </c:pt>
                <c:pt idx="1">
                  <c:v>-547.96194836243467</c:v>
                </c:pt>
                <c:pt idx="2">
                  <c:v>-776.88416959949609</c:v>
                </c:pt>
                <c:pt idx="3">
                  <c:v>-734.99354158008077</c:v>
                </c:pt>
                <c:pt idx="4">
                  <c:v>-692.63797450793038</c:v>
                </c:pt>
                <c:pt idx="5">
                  <c:v>-649.81528316949709</c:v>
                </c:pt>
                <c:pt idx="6">
                  <c:v>-606.52327208072938</c:v>
                </c:pt>
                <c:pt idx="7">
                  <c:v>-562.7597354388007</c:v>
                </c:pt>
                <c:pt idx="8">
                  <c:v>-518.52245707361112</c:v>
                </c:pt>
                <c:pt idx="9">
                  <c:v>-473.80921039906133</c:v>
                </c:pt>
                <c:pt idx="10">
                  <c:v>-428.61775836409737</c:v>
                </c:pt>
                <c:pt idx="11">
                  <c:v>-382.94585340352529</c:v>
                </c:pt>
                <c:pt idx="12">
                  <c:v>-336.79123738859471</c:v>
                </c:pt>
                <c:pt idx="13">
                  <c:v>-290.15164157735018</c:v>
                </c:pt>
                <c:pt idx="14">
                  <c:v>-243.02478656474904</c:v>
                </c:pt>
                <c:pt idx="15">
                  <c:v>-195.40838223254491</c:v>
                </c:pt>
                <c:pt idx="16">
                  <c:v>-147.30012769893563</c:v>
                </c:pt>
                <c:pt idx="17">
                  <c:v>-98.697711267974583</c:v>
                </c:pt>
                <c:pt idx="18">
                  <c:v>-49.598810378744226</c:v>
                </c:pt>
                <c:pt idx="19">
                  <c:v>-1.0915542907028453E-3</c:v>
                </c:pt>
                <c:pt idx="20">
                  <c:v>50.097789649681552</c:v>
                </c:pt>
                <c:pt idx="21">
                  <c:v>100.70018869635624</c:v>
                </c:pt>
                <c:pt idx="22">
                  <c:v>151.80847211959409</c:v>
                </c:pt>
                <c:pt idx="23">
                  <c:v>203.42501757596494</c:v>
                </c:pt>
                <c:pt idx="24">
                  <c:v>255.55221389702456</c:v>
                </c:pt>
                <c:pt idx="25">
                  <c:v>308.19246114183693</c:v>
                </c:pt>
                <c:pt idx="26">
                  <c:v>361.34817064974368</c:v>
                </c:pt>
                <c:pt idx="27">
                  <c:v>415.02176509338142</c:v>
                </c:pt>
                <c:pt idx="28">
                  <c:v>469.21567853194802</c:v>
                </c:pt>
                <c:pt idx="29">
                  <c:v>523.93235646471965</c:v>
                </c:pt>
                <c:pt idx="30">
                  <c:v>579.1742558848191</c:v>
                </c:pt>
                <c:pt idx="31">
                  <c:v>634.94384533323682</c:v>
                </c:pt>
                <c:pt idx="32">
                  <c:v>691.24360495310589</c:v>
                </c:pt>
                <c:pt idx="33">
                  <c:v>748.07602654423215</c:v>
                </c:pt>
                <c:pt idx="34">
                  <c:v>805.44361361788049</c:v>
                </c:pt>
                <c:pt idx="35">
                  <c:v>863.34888145181867</c:v>
                </c:pt>
                <c:pt idx="36">
                  <c:v>921.79435714562021</c:v>
                </c:pt>
                <c:pt idx="37">
                  <c:v>980.78257967622642</c:v>
                </c:pt>
                <c:pt idx="38">
                  <c:v>1040.3160999537702</c:v>
                </c:pt>
                <c:pt idx="39">
                  <c:v>1100.3974808776622</c:v>
                </c:pt>
                <c:pt idx="40">
                  <c:v>1161.0292973929404</c:v>
                </c:pt>
                <c:pt idx="41">
                  <c:v>1222.2141365468842</c:v>
                </c:pt>
                <c:pt idx="42">
                  <c:v>1283.9545975458952</c:v>
                </c:pt>
                <c:pt idx="43">
                  <c:v>1346.2532918126456</c:v>
                </c:pt>
                <c:pt idx="44">
                  <c:v>1409.1128430434933</c:v>
                </c:pt>
                <c:pt idx="45">
                  <c:v>1472.5358872661698</c:v>
                </c:pt>
                <c:pt idx="46">
                  <c:v>1536.5250728977367</c:v>
                </c:pt>
                <c:pt idx="47">
                  <c:v>1601.0830608028157</c:v>
                </c:pt>
                <c:pt idx="48">
                  <c:v>1666.2125243520923</c:v>
                </c:pt>
                <c:pt idx="49">
                  <c:v>1731.9161494810944</c:v>
                </c:pt>
                <c:pt idx="50">
                  <c:v>1798.1966347492466</c:v>
                </c:pt>
                <c:pt idx="51">
                  <c:v>1865.0566913992029</c:v>
                </c:pt>
                <c:pt idx="52">
                  <c:v>1932.4990434164577</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287.88199528665228</c:v>
                </c:pt>
                <c:pt idx="1">
                  <c:v>487.27213639635647</c:v>
                </c:pt>
                <c:pt idx="2">
                  <c:v>726.69452046363324</c:v>
                </c:pt>
                <c:pt idx="3">
                  <c:v>942.01965276910096</c:v>
                </c:pt>
                <c:pt idx="4">
                  <c:v>1160.7911477613368</c:v>
                </c:pt>
                <c:pt idx="5">
                  <c:v>1383.016771353716</c:v>
                </c:pt>
                <c:pt idx="6">
                  <c:v>1608.7043259594066</c:v>
                </c:pt>
                <c:pt idx="7">
                  <c:v>1837.8616506629189</c:v>
                </c:pt>
                <c:pt idx="8">
                  <c:v>2070.4966213924599</c:v>
                </c:pt>
                <c:pt idx="9">
                  <c:v>2306.6171510930994</c:v>
                </c:pt>
                <c:pt idx="10">
                  <c:v>2546.2311899007491</c:v>
                </c:pt>
                <c:pt idx="11">
                  <c:v>2789.3467253169597</c:v>
                </c:pt>
                <c:pt idx="12">
                  <c:v>3035.9717823845385</c:v>
                </c:pt>
                <c:pt idx="13">
                  <c:v>3286.1144238639945</c:v>
                </c:pt>
                <c:pt idx="14">
                  <c:v>3539.7827504108109</c:v>
                </c:pt>
                <c:pt idx="15">
                  <c:v>3796.9849007535518</c:v>
                </c:pt>
                <c:pt idx="16">
                  <c:v>4057.7290518728059</c:v>
                </c:pt>
                <c:pt idx="17">
                  <c:v>4322.0234191809695</c:v>
                </c:pt>
                <c:pt idx="18">
                  <c:v>4589.8762567028789</c:v>
                </c:pt>
                <c:pt idx="19">
                  <c:v>4861.2958572572852</c:v>
                </c:pt>
                <c:pt idx="20">
                  <c:v>5136.2905526391896</c:v>
                </c:pt>
                <c:pt idx="21">
                  <c:v>5414.8687138030282</c:v>
                </c:pt>
                <c:pt idx="22">
                  <c:v>5697.0387510467235</c:v>
                </c:pt>
                <c:pt idx="23">
                  <c:v>6024.0514289558641</c:v>
                </c:pt>
                <c:pt idx="24">
                  <c:v>6352.8788816196629</c:v>
                </c:pt>
                <c:pt idx="25">
                  <c:v>6683.5296384794665</c:v>
                </c:pt>
                <c:pt idx="26">
                  <c:v>7016.0122690649969</c:v>
                </c:pt>
                <c:pt idx="27">
                  <c:v>7350.3353831827644</c:v>
                </c:pt>
                <c:pt idx="28">
                  <c:v>7686.5076311053699</c:v>
                </c:pt>
                <c:pt idx="29">
                  <c:v>8024.5377037616972</c:v>
                </c:pt>
                <c:pt idx="30">
                  <c:v>8364.4343329279945</c:v>
                </c:pt>
                <c:pt idx="31">
                  <c:v>8706.2062914198577</c:v>
                </c:pt>
                <c:pt idx="32">
                  <c:v>9049.8623932851187</c:v>
                </c:pt>
                <c:pt idx="33">
                  <c:v>9395.4114939976316</c:v>
                </c:pt>
                <c:pt idx="34">
                  <c:v>9742.8624906519781</c:v>
                </c:pt>
                <c:pt idx="35">
                  <c:v>10092.224322159085</c:v>
                </c:pt>
                <c:pt idx="36">
                  <c:v>10443.50596944276</c:v>
                </c:pt>
                <c:pt idx="37">
                  <c:v>10796.716455637154</c:v>
                </c:pt>
                <c:pt idx="38">
                  <c:v>11151.864846285147</c:v>
                </c:pt>
                <c:pt idx="39">
                  <c:v>11508.960249537671</c:v>
                </c:pt>
                <c:pt idx="40">
                  <c:v>11868.011816353966</c:v>
                </c:pt>
                <c:pt idx="41">
                  <c:v>12229.028740702784</c:v>
                </c:pt>
                <c:pt idx="42">
                  <c:v>12592.020259764526</c:v>
                </c:pt>
                <c:pt idx="43">
                  <c:v>12956.995654134344</c:v>
                </c:pt>
                <c:pt idx="44">
                  <c:v>13323.964248026185</c:v>
                </c:pt>
                <c:pt idx="45">
                  <c:v>13692.935409477803</c:v>
                </c:pt>
                <c:pt idx="46">
                  <c:v>14063.918550556727</c:v>
                </c:pt>
                <c:pt idx="47">
                  <c:v>14436.923127567208</c:v>
                </c:pt>
                <c:pt idx="48">
                  <c:v>14811.958641258123</c:v>
                </c:pt>
                <c:pt idx="49">
                  <c:v>15189.034637031871</c:v>
                </c:pt>
                <c:pt idx="50">
                  <c:v>15568.160705154241</c:v>
                </c:pt>
                <c:pt idx="51">
                  <c:v>15949.346480965272</c:v>
                </c:pt>
                <c:pt idx="52">
                  <c:v>16332.601645091099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-155.96325982791137</c:v>
                </c:pt>
                <c:pt idx="1">
                  <c:v>-600.62821510539334</c:v>
                </c:pt>
                <c:pt idx="2">
                  <c:v>-851.55283779221236</c:v>
                </c:pt>
                <c:pt idx="3">
                  <c:v>-805.63597584196691</c:v>
                </c:pt>
                <c:pt idx="4">
                  <c:v>-759.20948815181089</c:v>
                </c:pt>
                <c:pt idx="5">
                  <c:v>-712.27097948076675</c:v>
                </c:pt>
                <c:pt idx="6">
                  <c:v>-664.81804333022433</c:v>
                </c:pt>
                <c:pt idx="7">
                  <c:v>-616.84826189102989</c:v>
                </c:pt>
                <c:pt idx="8">
                  <c:v>-568.35920599032681</c:v>
                </c:pt>
                <c:pt idx="9">
                  <c:v>-519.34843503814602</c:v>
                </c:pt>
                <c:pt idx="10">
                  <c:v>-469.8134969737456</c:v>
                </c:pt>
                <c:pt idx="11">
                  <c:v>-419.75192821169804</c:v>
                </c:pt>
                <c:pt idx="12">
                  <c:v>-369.16125358772445</c:v>
                </c:pt>
                <c:pt idx="13">
                  <c:v>-318.03898630427381</c:v>
                </c:pt>
                <c:pt idx="14">
                  <c:v>-266.38262787584654</c:v>
                </c:pt>
                <c:pt idx="15">
                  <c:v>-214.18966807406127</c:v>
                </c:pt>
                <c:pt idx="16">
                  <c:v>-161.4575848724632</c:v>
                </c:pt>
                <c:pt idx="17">
                  <c:v>-108.18384439107321</c:v>
                </c:pt>
                <c:pt idx="18">
                  <c:v>-54.365900840676261</c:v>
                </c:pt>
                <c:pt idx="19">
                  <c:v>-1.1964668480430873E-3</c:v>
                </c:pt>
                <c:pt idx="20">
                  <c:v>54.912838506281595</c:v>
                </c:pt>
                <c:pt idx="21">
                  <c:v>110.37878593252933</c:v>
                </c:pt>
                <c:pt idx="22">
                  <c:v>166.39923980042482</c:v>
                </c:pt>
                <c:pt idx="23">
                  <c:v>222.97680629024387</c:v>
                </c:pt>
                <c:pt idx="24">
                  <c:v>280.11410383130948</c:v>
                </c:pt>
                <c:pt idx="25">
                  <c:v>337.81376315956248</c:v>
                </c:pt>
                <c:pt idx="26">
                  <c:v>396.07842737540273</c:v>
                </c:pt>
                <c:pt idx="27">
                  <c:v>454.91075200180177</c:v>
                </c:pt>
                <c:pt idx="28">
                  <c:v>514.31340504268928</c:v>
                </c:pt>
                <c:pt idx="29">
                  <c:v>574.28906704161341</c:v>
                </c:pt>
                <c:pt idx="30">
                  <c:v>634.84043114067686</c:v>
                </c:pt>
                <c:pt idx="31">
                  <c:v>695.97020313975031</c:v>
                </c:pt>
                <c:pt idx="32">
                  <c:v>757.68110155596389</c:v>
                </c:pt>
                <c:pt idx="33">
                  <c:v>819.97585768347801</c:v>
                </c:pt>
                <c:pt idx="34">
                  <c:v>882.85721565353583</c:v>
                </c:pt>
                <c:pt idx="35">
                  <c:v>946.32793249479732</c:v>
                </c:pt>
                <c:pt idx="36">
                  <c:v>1010.3907781939572</c:v>
                </c:pt>
                <c:pt idx="37">
                  <c:v>1075.0485357566477</c:v>
                </c:pt>
                <c:pt idx="38">
                  <c:v>1140.304001268627</c:v>
                </c:pt>
                <c:pt idx="39">
                  <c:v>1206.1599839572571</c:v>
                </c:pt>
                <c:pt idx="40">
                  <c:v>1272.6193062532682</c:v>
                </c:pt>
                <c:pt idx="41">
                  <c:v>1339.6848038528149</c:v>
                </c:pt>
                <c:pt idx="42">
                  <c:v>1407.3593257798238</c:v>
                </c:pt>
                <c:pt idx="43">
                  <c:v>1475.6457344486344</c:v>
                </c:pt>
                <c:pt idx="44">
                  <c:v>1544.5469057269324</c:v>
                </c:pt>
                <c:pt idx="45">
                  <c:v>1614.0657289989831</c:v>
                </c:pt>
                <c:pt idx="46">
                  <c:v>1684.2051072291567</c:v>
                </c:pt>
                <c:pt idx="47">
                  <c:v>1754.9679570257567</c:v>
                </c:pt>
                <c:pt idx="48">
                  <c:v>1826.357208705145</c:v>
                </c:pt>
                <c:pt idx="49">
                  <c:v>1898.3758063561709</c:v>
                </c:pt>
                <c:pt idx="50">
                  <c:v>1971.0267079049011</c:v>
                </c:pt>
                <c:pt idx="51">
                  <c:v>2044.3128851796546</c:v>
                </c:pt>
                <c:pt idx="52">
                  <c:v>2118.2373239763438</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304.46313456917756</c:v>
                </c:pt>
                <c:pt idx="1">
                  <c:v>515.33754963637739</c:v>
                </c:pt>
                <c:pt idx="2">
                  <c:v>768.54994475877697</c:v>
                </c:pt>
                <c:pt idx="3">
                  <c:v>996.27715870964278</c:v>
                </c:pt>
                <c:pt idx="4">
                  <c:v>1227.6492354989464</c:v>
                </c:pt>
                <c:pt idx="5">
                  <c:v>1462.6743883333759</c:v>
                </c:pt>
                <c:pt idx="6">
                  <c:v>1701.3608690216906</c:v>
                </c:pt>
                <c:pt idx="7">
                  <c:v>1943.7169681561511</c:v>
                </c:pt>
                <c:pt idx="8">
                  <c:v>2189.7510152948016</c:v>
                </c:pt>
                <c:pt idx="9">
                  <c:v>2439.4713791446088</c:v>
                </c:pt>
                <c:pt idx="10">
                  <c:v>2692.8864677454631</c:v>
                </c:pt>
                <c:pt idx="11">
                  <c:v>2950.0047286550407</c:v>
                </c:pt>
                <c:pt idx="12">
                  <c:v>3210.8346491345405</c:v>
                </c:pt>
                <c:pt idx="13">
                  <c:v>3475.3847563352888</c:v>
                </c:pt>
                <c:pt idx="14">
                  <c:v>3743.6636174862224</c:v>
                </c:pt>
                <c:pt idx="15">
                  <c:v>4015.6798400822545</c:v>
                </c:pt>
                <c:pt idx="16">
                  <c:v>4291.4420720735243</c:v>
                </c:pt>
                <c:pt idx="17">
                  <c:v>4570.9590020555361</c:v>
                </c:pt>
                <c:pt idx="18">
                  <c:v>4854.2393594601945</c:v>
                </c:pt>
                <c:pt idx="19">
                  <c:v>5141.2919147477332</c:v>
                </c:pt>
                <c:pt idx="20">
                  <c:v>5432.1254795995492</c:v>
                </c:pt>
                <c:pt idx="21">
                  <c:v>5726.7489071119417</c:v>
                </c:pt>
                <c:pt idx="22">
                  <c:v>6025.1710919907619</c:v>
                </c:pt>
                <c:pt idx="23">
                  <c:v>6371.0187191094356</c:v>
                </c:pt>
                <c:pt idx="24">
                  <c:v>6718.7856465643108</c:v>
                </c:pt>
                <c:pt idx="25">
                  <c:v>7068.4808950669685</c:v>
                </c:pt>
                <c:pt idx="26">
                  <c:v>7420.1135277263329</c:v>
                </c:pt>
                <c:pt idx="27">
                  <c:v>7773.6926502479409</c:v>
                </c:pt>
                <c:pt idx="28">
                  <c:v>8129.2274111341449</c:v>
                </c:pt>
                <c:pt idx="29">
                  <c:v>8486.7270018852578</c:v>
                </c:pt>
                <c:pt idx="30">
                  <c:v>8846.2006572016453</c:v>
                </c:pt>
                <c:pt idx="31">
                  <c:v>9207.6576551867656</c:v>
                </c:pt>
                <c:pt idx="32">
                  <c:v>9571.1073175511592</c:v>
                </c:pt>
                <c:pt idx="33">
                  <c:v>9936.5590098174107</c:v>
                </c:pt>
                <c:pt idx="34">
                  <c:v>10304.022141526057</c:v>
                </c:pt>
                <c:pt idx="35">
                  <c:v>10673.506166442479</c:v>
                </c:pt>
                <c:pt idx="36">
                  <c:v>11045.020582764753</c:v>
                </c:pt>
                <c:pt idx="37">
                  <c:v>11418.574933332486</c:v>
                </c:pt>
                <c:pt idx="38">
                  <c:v>11794.178805836631</c:v>
                </c:pt>
                <c:pt idx="39">
                  <c:v>12171.84183303029</c:v>
                </c:pt>
                <c:pt idx="40">
                  <c:v>12551.573692940505</c:v>
                </c:pt>
                <c:pt idx="41">
                  <c:v>12933.38410908104</c:v>
                </c:pt>
                <c:pt idx="42">
                  <c:v>13317.282850666181</c:v>
                </c:pt>
                <c:pt idx="43">
                  <c:v>13703.279732825516</c:v>
                </c:pt>
                <c:pt idx="44">
                  <c:v>14091.384616819745</c:v>
                </c:pt>
                <c:pt idx="45">
                  <c:v>14481.607410257491</c:v>
                </c:pt>
                <c:pt idx="46">
                  <c:v>14873.958067313139</c:v>
                </c:pt>
                <c:pt idx="47">
                  <c:v>15268.446588945691</c:v>
                </c:pt>
                <c:pt idx="48">
                  <c:v>15665.083023118663</c:v>
                </c:pt>
                <c:pt idx="49">
                  <c:v>16063.877465020991</c:v>
                </c:pt>
                <c:pt idx="50">
                  <c:v>16464.840057289006</c:v>
                </c:pt>
                <c:pt idx="51">
                  <c:v>16867.980990229426</c:v>
                </c:pt>
                <c:pt idx="52">
                  <c:v>17273.310502043409</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9" t="s">
        <v>473</v>
      </c>
      <c r="D2" s="2110"/>
      <c r="E2" s="2110"/>
      <c r="F2" s="2110"/>
      <c r="G2" s="2110"/>
      <c r="H2" s="415"/>
      <c r="I2" s="2113" t="s">
        <v>962</v>
      </c>
      <c r="J2" s="2114"/>
      <c r="K2" s="2114"/>
    </row>
    <row r="3" spans="2:18" ht="10.5" customHeight="1" x14ac:dyDescent="0.25">
      <c r="B3" s="414"/>
      <c r="C3" s="413"/>
      <c r="D3" s="413"/>
      <c r="E3" s="413"/>
      <c r="F3" s="413"/>
      <c r="G3" s="413"/>
      <c r="H3" s="414"/>
      <c r="I3" s="414"/>
      <c r="J3" s="414"/>
      <c r="K3" s="414"/>
    </row>
    <row r="4" spans="2:18" ht="37.9" customHeight="1" x14ac:dyDescent="0.25">
      <c r="B4" s="416"/>
      <c r="C4" s="2111" t="s">
        <v>770</v>
      </c>
      <c r="D4" s="2112"/>
      <c r="E4" s="2112"/>
      <c r="F4" s="2112"/>
      <c r="G4" s="2112"/>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6" t="s">
        <v>497</v>
      </c>
      <c r="K6" s="2108"/>
      <c r="L6" s="2108"/>
      <c r="M6" s="2108"/>
      <c r="N6" s="2108"/>
      <c r="O6" s="2108"/>
      <c r="P6" s="2108"/>
      <c r="Q6" s="2108"/>
      <c r="R6" s="2108"/>
    </row>
    <row r="7" spans="2:18" ht="18" customHeight="1" x14ac:dyDescent="0.25">
      <c r="B7" s="73"/>
      <c r="I7" s="417"/>
      <c r="J7" s="2108"/>
      <c r="K7" s="2108"/>
      <c r="L7" s="2108"/>
      <c r="M7" s="2108"/>
      <c r="N7" s="2108"/>
      <c r="O7" s="2108"/>
      <c r="P7" s="2108"/>
      <c r="Q7" s="2108"/>
      <c r="R7" s="2108"/>
    </row>
    <row r="8" spans="2:18" ht="18" customHeight="1" x14ac:dyDescent="0.25">
      <c r="B8" s="73"/>
      <c r="I8" s="417"/>
      <c r="J8" s="77"/>
      <c r="K8" s="77"/>
      <c r="L8" s="77"/>
      <c r="M8" s="77"/>
      <c r="N8" s="77"/>
      <c r="O8" s="77"/>
      <c r="P8" s="77"/>
      <c r="Q8" s="77"/>
      <c r="R8" s="77"/>
    </row>
    <row r="9" spans="2:18" ht="22.9" customHeight="1" x14ac:dyDescent="0.25">
      <c r="B9" s="73"/>
      <c r="I9" s="112" t="s">
        <v>772</v>
      </c>
      <c r="J9" s="2106" t="s">
        <v>775</v>
      </c>
      <c r="K9" s="2108"/>
      <c r="L9" s="2108"/>
      <c r="M9" s="2108"/>
      <c r="N9" s="2108"/>
      <c r="O9" s="2108"/>
      <c r="P9" s="2108"/>
      <c r="Q9" s="2108"/>
      <c r="R9" s="2108"/>
    </row>
    <row r="10" spans="2:18" ht="22.9" customHeight="1" x14ac:dyDescent="0.25">
      <c r="B10" s="73"/>
      <c r="I10" s="417"/>
      <c r="J10" s="2108"/>
      <c r="K10" s="2108"/>
      <c r="L10" s="2108"/>
      <c r="M10" s="2108"/>
      <c r="N10" s="2108"/>
      <c r="O10" s="2108"/>
      <c r="P10" s="2108"/>
      <c r="Q10" s="2108"/>
      <c r="R10" s="2108"/>
    </row>
    <row r="11" spans="2:18" ht="22.9" customHeight="1" x14ac:dyDescent="0.25">
      <c r="I11" s="417"/>
      <c r="J11" s="2108"/>
      <c r="K11" s="2108"/>
      <c r="L11" s="2108"/>
      <c r="M11" s="2108"/>
      <c r="N11" s="2108"/>
      <c r="O11" s="2108"/>
      <c r="P11" s="2108"/>
      <c r="Q11" s="2108"/>
      <c r="R11" s="2108"/>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7" t="s">
        <v>776</v>
      </c>
      <c r="K13" s="2107"/>
      <c r="L13" s="2107"/>
      <c r="M13" s="2107"/>
      <c r="N13" s="2107"/>
      <c r="O13" s="2107"/>
      <c r="P13" s="2107"/>
      <c r="Q13" s="2107"/>
      <c r="R13" s="2107"/>
    </row>
    <row r="14" spans="2:18" ht="18" customHeight="1" x14ac:dyDescent="0.25">
      <c r="B14" s="73"/>
      <c r="C14" s="79"/>
      <c r="G14" s="80"/>
      <c r="H14" s="80"/>
      <c r="I14" s="417"/>
      <c r="J14" s="2107"/>
      <c r="K14" s="2107"/>
      <c r="L14" s="2107"/>
      <c r="M14" s="2107"/>
      <c r="N14" s="2107"/>
      <c r="O14" s="2107"/>
      <c r="P14" s="2107"/>
      <c r="Q14" s="2107"/>
      <c r="R14" s="2107"/>
    </row>
    <row r="15" spans="2:18" ht="18" customHeight="1" x14ac:dyDescent="0.25">
      <c r="B15" s="73"/>
      <c r="C15" s="79"/>
      <c r="G15" s="80"/>
      <c r="H15" s="80"/>
      <c r="I15" s="417"/>
      <c r="J15" s="2107"/>
      <c r="K15" s="2107"/>
      <c r="L15" s="2107"/>
      <c r="M15" s="2107"/>
      <c r="N15" s="2107"/>
      <c r="O15" s="2107"/>
      <c r="P15" s="2107"/>
      <c r="Q15" s="2107"/>
      <c r="R15" s="2107"/>
    </row>
    <row r="16" spans="2:18" ht="18" customHeight="1" x14ac:dyDescent="0.25">
      <c r="B16" s="73"/>
      <c r="C16" s="79"/>
      <c r="G16" s="80"/>
      <c r="H16" s="80"/>
      <c r="I16" s="417"/>
      <c r="J16" s="2107"/>
      <c r="K16" s="2107"/>
      <c r="L16" s="2107"/>
      <c r="M16" s="2107"/>
      <c r="N16" s="2107"/>
      <c r="O16" s="2107"/>
      <c r="P16" s="2107"/>
      <c r="Q16" s="2107"/>
      <c r="R16" s="2107"/>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6" t="s">
        <v>498</v>
      </c>
      <c r="K18" s="2106"/>
      <c r="L18" s="2106"/>
      <c r="M18" s="2106"/>
      <c r="N18" s="2106"/>
      <c r="O18" s="2106"/>
      <c r="P18" s="2106"/>
      <c r="Q18" s="2106"/>
      <c r="R18" s="2106"/>
    </row>
    <row r="19" spans="1:18" ht="18" customHeight="1" x14ac:dyDescent="0.25">
      <c r="B19" s="73"/>
      <c r="C19" s="80"/>
      <c r="D19" s="79"/>
      <c r="E19" s="79"/>
      <c r="F19" s="79"/>
      <c r="G19" s="79"/>
      <c r="H19" s="79"/>
      <c r="I19" s="79"/>
      <c r="J19" s="2106"/>
      <c r="K19" s="2106"/>
      <c r="L19" s="2106"/>
      <c r="M19" s="2106"/>
      <c r="N19" s="2106"/>
      <c r="O19" s="2106"/>
      <c r="P19" s="2106"/>
      <c r="Q19" s="2106"/>
      <c r="R19" s="2106"/>
    </row>
    <row r="20" spans="1:18" ht="18" customHeight="1" x14ac:dyDescent="0.25">
      <c r="B20" s="73"/>
      <c r="C20" s="79"/>
      <c r="D20" s="79"/>
      <c r="E20" s="79"/>
      <c r="F20" s="79"/>
      <c r="G20" s="79"/>
      <c r="H20" s="79"/>
      <c r="I20" s="79"/>
      <c r="J20" s="2106"/>
      <c r="K20" s="2106"/>
      <c r="L20" s="2106"/>
      <c r="M20" s="2106"/>
      <c r="N20" s="2106"/>
      <c r="O20" s="2106"/>
      <c r="P20" s="2106"/>
      <c r="Q20" s="2106"/>
      <c r="R20" s="2106"/>
    </row>
    <row r="21" spans="1:18" ht="40.15" customHeight="1" x14ac:dyDescent="0.25">
      <c r="A21" s="523"/>
      <c r="B21" s="418"/>
      <c r="C21" s="419"/>
      <c r="D21" s="419"/>
      <c r="E21" s="419"/>
      <c r="F21" s="419"/>
      <c r="G21" s="422"/>
      <c r="I21" s="79"/>
      <c r="J21" s="2106"/>
      <c r="K21" s="2106"/>
      <c r="L21" s="2106"/>
      <c r="M21" s="2106"/>
      <c r="N21" s="2106"/>
      <c r="O21" s="2106"/>
      <c r="P21" s="2106"/>
      <c r="Q21" s="2106"/>
      <c r="R21" s="2106"/>
    </row>
    <row r="22" spans="1:18" ht="34.9" customHeight="1" x14ac:dyDescent="0.25">
      <c r="B22" s="75"/>
      <c r="C22" s="75"/>
      <c r="D22" s="75"/>
      <c r="E22" s="75"/>
      <c r="F22" s="75"/>
      <c r="G22" s="75"/>
      <c r="H22" s="75"/>
      <c r="I22" s="75"/>
      <c r="J22" s="2106"/>
      <c r="K22" s="2106"/>
      <c r="L22" s="2106"/>
      <c r="M22" s="2106"/>
      <c r="N22" s="2106"/>
      <c r="O22" s="2106"/>
      <c r="P22" s="2106"/>
      <c r="Q22" s="2106"/>
      <c r="R22" s="2106"/>
    </row>
    <row r="23" spans="1:18" ht="18" customHeight="1" x14ac:dyDescent="0.25">
      <c r="B23" s="75"/>
      <c r="C23" s="207" t="s">
        <v>499</v>
      </c>
      <c r="D23" s="524" t="s">
        <v>472</v>
      </c>
      <c r="E23" s="76"/>
      <c r="F23" s="75"/>
      <c r="G23" s="75"/>
      <c r="H23" s="75"/>
      <c r="J23" s="2106"/>
      <c r="K23" s="2106"/>
      <c r="L23" s="2106"/>
      <c r="M23" s="2106"/>
      <c r="N23" s="2106"/>
      <c r="O23" s="2106"/>
      <c r="P23" s="2106"/>
      <c r="Q23" s="2106"/>
      <c r="R23" s="2106"/>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11" sqref="E11"/>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15" t="s">
        <v>1000</v>
      </c>
      <c r="E2" s="2116"/>
      <c r="F2" s="2117"/>
      <c r="G2" s="434"/>
      <c r="H2" s="2118" t="s">
        <v>5</v>
      </c>
      <c r="I2" s="2119"/>
      <c r="J2" s="2120"/>
      <c r="K2" s="434"/>
      <c r="L2" s="434"/>
      <c r="M2" s="434"/>
      <c r="N2" s="434"/>
      <c r="O2" s="983"/>
      <c r="P2" s="983" t="s">
        <v>6</v>
      </c>
      <c r="Q2" s="983"/>
      <c r="R2" s="983"/>
      <c r="S2" s="983"/>
      <c r="T2" s="983"/>
      <c r="U2" s="983"/>
      <c r="V2" s="3"/>
      <c r="W2" s="3"/>
      <c r="X2" s="3"/>
      <c r="Y2" s="3"/>
    </row>
    <row r="3" spans="1:25" ht="18" customHeight="1" x14ac:dyDescent="0.25">
      <c r="A3" s="85"/>
      <c r="B3" s="434"/>
      <c r="C3" s="531" t="s">
        <v>486</v>
      </c>
      <c r="D3" s="2115" t="s">
        <v>1001</v>
      </c>
      <c r="E3" s="2116"/>
      <c r="F3" s="2117"/>
      <c r="G3" s="434"/>
      <c r="H3" s="2121"/>
      <c r="I3" s="2122"/>
      <c r="J3" s="2123"/>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8" t="s">
        <v>473</v>
      </c>
      <c r="M4" s="2129"/>
      <c r="N4" s="2129"/>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30" t="str">
        <f>Apresentação!I2</f>
        <v>RC-RSU V.1.0 - 15/10/2020</v>
      </c>
      <c r="M5" s="2130"/>
      <c r="N5" s="2130"/>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12.293578427442377</v>
      </c>
      <c r="F9" s="602">
        <f>(E10)*1000/E8</f>
        <v>12.147804770199977</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v>5000</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5000</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38" t="s">
        <v>931</v>
      </c>
      <c r="D16" s="2139"/>
      <c r="E16" s="2139"/>
      <c r="F16" s="2139"/>
      <c r="G16" s="2139"/>
      <c r="H16" s="2139"/>
      <c r="I16" s="2139"/>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24" t="s">
        <v>16</v>
      </c>
      <c r="D23" s="2127" t="s">
        <v>736</v>
      </c>
      <c r="E23" s="2125"/>
      <c r="F23" s="2125"/>
      <c r="G23" s="2133" t="s">
        <v>830</v>
      </c>
      <c r="H23" s="2133" t="s">
        <v>17</v>
      </c>
      <c r="I23" s="2125"/>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25"/>
      <c r="D24" s="2126" t="s">
        <v>18</v>
      </c>
      <c r="E24" s="2126" t="s">
        <v>19</v>
      </c>
      <c r="F24" s="2126" t="s">
        <v>20</v>
      </c>
      <c r="G24" s="2125"/>
      <c r="H24" s="2125"/>
      <c r="I24" s="2125"/>
      <c r="J24" s="529"/>
      <c r="K24" s="547"/>
      <c r="L24" s="529"/>
      <c r="M24" s="529"/>
      <c r="N24" s="434"/>
      <c r="O24" s="983"/>
      <c r="P24" s="983"/>
      <c r="Q24" s="983"/>
      <c r="R24" s="983"/>
      <c r="S24" s="983"/>
      <c r="T24" s="983"/>
      <c r="U24" s="983"/>
      <c r="V24" s="3"/>
      <c r="W24" s="7"/>
      <c r="X24" s="7"/>
      <c r="Y24" s="7"/>
    </row>
    <row r="25" spans="1:25" ht="30.4" customHeight="1" x14ac:dyDescent="0.25">
      <c r="A25" s="85"/>
      <c r="B25" s="434"/>
      <c r="C25" s="2125"/>
      <c r="D25" s="2125"/>
      <c r="E25" s="2125"/>
      <c r="F25" s="2125"/>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2420</v>
      </c>
      <c r="H26" s="2134">
        <f>E26+E27</f>
        <v>51.4</v>
      </c>
      <c r="I26" s="2136"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150</v>
      </c>
      <c r="H27" s="2135"/>
      <c r="I27" s="2137"/>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655</v>
      </c>
      <c r="H28" s="2134">
        <f>SUM(E28:E33)</f>
        <v>31.900000000000002</v>
      </c>
      <c r="I28" s="2136"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445</v>
      </c>
      <c r="H29" s="2135"/>
      <c r="I29" s="2137"/>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230</v>
      </c>
      <c r="H30" s="2135"/>
      <c r="I30" s="2137"/>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120</v>
      </c>
      <c r="H31" s="2135"/>
      <c r="I31" s="2137"/>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115</v>
      </c>
      <c r="H32" s="2135"/>
      <c r="I32" s="2137"/>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30</v>
      </c>
      <c r="H33" s="2135"/>
      <c r="I33" s="2137"/>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222.5</v>
      </c>
      <c r="H34" s="2134">
        <f>SUM(E34:E37)</f>
        <v>10.14</v>
      </c>
      <c r="I34" s="2141"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48</v>
      </c>
      <c r="H35" s="2135"/>
      <c r="I35" s="2137"/>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200</v>
      </c>
      <c r="H36" s="2135"/>
      <c r="I36" s="2137"/>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36.5</v>
      </c>
      <c r="H37" s="2135"/>
      <c r="I37" s="2137"/>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34">
        <f>SUM(E38:E39)</f>
        <v>6.5600000000000023</v>
      </c>
      <c r="I38" s="2141"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328.00000000000017</v>
      </c>
      <c r="H39" s="2135"/>
      <c r="I39" s="2137"/>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5000</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5000</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5000</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45" t="s">
        <v>48</v>
      </c>
      <c r="D51" s="2143" t="s">
        <v>508</v>
      </c>
      <c r="E51" s="2144"/>
      <c r="F51" s="2144"/>
      <c r="G51" s="2144"/>
      <c r="H51" s="2144"/>
      <c r="I51" s="2144"/>
      <c r="J51" s="2144"/>
      <c r="K51" s="2144"/>
      <c r="L51" s="2144"/>
      <c r="M51" s="2144"/>
      <c r="N51" s="2144"/>
      <c r="O51" s="983"/>
      <c r="P51" s="983"/>
      <c r="Q51" s="983"/>
      <c r="R51" s="983"/>
      <c r="S51" s="983"/>
      <c r="T51" s="983"/>
      <c r="U51" s="983"/>
      <c r="V51" s="3"/>
      <c r="W51" s="3"/>
      <c r="X51" s="3"/>
      <c r="Y51" s="3"/>
    </row>
    <row r="52" spans="1:25" ht="18" customHeight="1" x14ac:dyDescent="0.25">
      <c r="A52" s="85"/>
      <c r="B52" s="434"/>
      <c r="C52" s="2132"/>
      <c r="D52" s="2131" t="s">
        <v>25</v>
      </c>
      <c r="E52" s="2132"/>
      <c r="F52" s="2146" t="s">
        <v>49</v>
      </c>
      <c r="G52" s="2131" t="s">
        <v>475</v>
      </c>
      <c r="H52" s="2132"/>
      <c r="I52" s="2131" t="s">
        <v>476</v>
      </c>
      <c r="J52" s="2131" t="s">
        <v>52</v>
      </c>
      <c r="K52" s="2132"/>
      <c r="L52" s="2131" t="s">
        <v>477</v>
      </c>
      <c r="M52" s="2142"/>
      <c r="N52" s="2140" t="s">
        <v>53</v>
      </c>
      <c r="O52" s="983"/>
      <c r="P52" s="983"/>
      <c r="Q52" s="983"/>
      <c r="R52" s="983"/>
      <c r="S52" s="983"/>
      <c r="T52" s="983"/>
      <c r="U52" s="983"/>
      <c r="V52" s="3"/>
      <c r="W52" s="3"/>
      <c r="X52" s="3"/>
      <c r="Y52" s="3"/>
    </row>
    <row r="53" spans="1:25" ht="31.15" customHeight="1" x14ac:dyDescent="0.25">
      <c r="A53" s="85"/>
      <c r="B53" s="434"/>
      <c r="C53" s="2132"/>
      <c r="D53" s="499" t="s">
        <v>54</v>
      </c>
      <c r="E53" s="499" t="s">
        <v>55</v>
      </c>
      <c r="F53" s="2132"/>
      <c r="G53" s="499" t="s">
        <v>56</v>
      </c>
      <c r="H53" s="499" t="s">
        <v>57</v>
      </c>
      <c r="I53" s="2132"/>
      <c r="J53" s="499" t="s">
        <v>58</v>
      </c>
      <c r="K53" s="499" t="s">
        <v>510</v>
      </c>
      <c r="L53" s="499" t="s">
        <v>478</v>
      </c>
      <c r="M53" s="500" t="s">
        <v>509</v>
      </c>
      <c r="N53" s="2132"/>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2420</v>
      </c>
      <c r="E56" s="104">
        <f>G27-E55</f>
        <v>150</v>
      </c>
      <c r="F56" s="104">
        <f>G28-F54</f>
        <v>655</v>
      </c>
      <c r="G56" s="104">
        <f>G29-G54</f>
        <v>445</v>
      </c>
      <c r="H56" s="104">
        <f>G30-H54</f>
        <v>230</v>
      </c>
      <c r="I56" s="104">
        <f>G31-I54</f>
        <v>120</v>
      </c>
      <c r="J56" s="104">
        <f>G32-J54</f>
        <v>115</v>
      </c>
      <c r="K56" s="104">
        <f>G33-K54</f>
        <v>30</v>
      </c>
      <c r="L56" s="104">
        <f>SUM(G34:G37)</f>
        <v>507</v>
      </c>
      <c r="M56" s="104">
        <f>SUM(G38:G39)</f>
        <v>328.00000000000017</v>
      </c>
      <c r="N56" s="104">
        <f>SUM(D56:M56)</f>
        <v>5000</v>
      </c>
      <c r="O56" s="983"/>
      <c r="P56" s="983"/>
      <c r="Q56" s="983"/>
      <c r="R56" s="983"/>
      <c r="S56" s="983"/>
      <c r="T56" s="983"/>
      <c r="U56" s="983"/>
      <c r="V56" s="3"/>
      <c r="W56" s="3"/>
      <c r="X56" s="3"/>
      <c r="Y56" s="3"/>
    </row>
    <row r="57" spans="1:25" ht="18" customHeight="1" x14ac:dyDescent="0.25">
      <c r="A57" s="85"/>
      <c r="B57" s="434"/>
      <c r="C57" s="233" t="s">
        <v>53</v>
      </c>
      <c r="D57" s="104">
        <f>SUM(D55:D56)</f>
        <v>2420</v>
      </c>
      <c r="E57" s="104">
        <f>SUM(E55:E56)</f>
        <v>150</v>
      </c>
      <c r="F57" s="104">
        <f t="shared" ref="F57:L57" si="2">SUM(F54:F56)</f>
        <v>655</v>
      </c>
      <c r="G57" s="104">
        <f t="shared" si="2"/>
        <v>445</v>
      </c>
      <c r="H57" s="104">
        <f t="shared" si="2"/>
        <v>230</v>
      </c>
      <c r="I57" s="104">
        <f t="shared" si="2"/>
        <v>120</v>
      </c>
      <c r="J57" s="104">
        <f t="shared" si="2"/>
        <v>115</v>
      </c>
      <c r="K57" s="104">
        <f t="shared" si="2"/>
        <v>30</v>
      </c>
      <c r="L57" s="104">
        <f t="shared" si="2"/>
        <v>507</v>
      </c>
      <c r="M57" s="104">
        <f>M56</f>
        <v>328.00000000000017</v>
      </c>
      <c r="N57" s="104">
        <f>SUM(N54:N56)</f>
        <v>5000</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19" colorId="23" zoomScale="80" zoomScaleNormal="80" workbookViewId="0">
      <selection activeCell="J21" sqref="J21"/>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47" t="str">
        <f>IF('R-Entrada'!D2&lt;&gt;0,'R-Entrada'!D2,"")</f>
        <v>CIRSOP - Consórcio RSU Oeste Paulista</v>
      </c>
      <c r="E2" s="2148"/>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47" t="str">
        <f>IF('R-Entrada'!D3&lt;&gt;0,'R-Entrada'!D3,"")</f>
        <v>Biodigestão c/ Prod. E. Elétrica</v>
      </c>
      <c r="E3" s="2148"/>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18" t="s">
        <v>737</v>
      </c>
      <c r="G5" s="2164"/>
      <c r="H5" s="2165"/>
      <c r="I5" s="434"/>
      <c r="J5" s="132"/>
      <c r="K5" s="584" t="s">
        <v>725</v>
      </c>
      <c r="L5" s="434"/>
      <c r="M5" s="434"/>
      <c r="N5" s="2128" t="s">
        <v>473</v>
      </c>
      <c r="O5" s="2173"/>
      <c r="P5" s="2173"/>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66"/>
      <c r="G6" s="2167"/>
      <c r="H6" s="2168"/>
      <c r="I6" s="532"/>
      <c r="J6" s="700"/>
      <c r="K6" s="584" t="s">
        <v>726</v>
      </c>
      <c r="L6" s="434"/>
      <c r="M6" s="434"/>
      <c r="N6" s="2130" t="str">
        <f>Apresentação!I2</f>
        <v>RC-RSU V.1.0 - 15/10/2020</v>
      </c>
      <c r="O6" s="2130"/>
      <c r="P6" s="2130"/>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74" t="s">
        <v>511</v>
      </c>
      <c r="C8" s="2174"/>
      <c r="D8" s="2174"/>
      <c r="E8" s="2174"/>
      <c r="F8" s="2174"/>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33" t="s">
        <v>48</v>
      </c>
      <c r="D10" s="2127" t="s">
        <v>508</v>
      </c>
      <c r="E10" s="2125"/>
      <c r="F10" s="2125"/>
      <c r="G10" s="2125"/>
      <c r="H10" s="2125"/>
      <c r="I10" s="2125"/>
      <c r="J10" s="2125"/>
      <c r="K10" s="2125"/>
      <c r="L10" s="2125"/>
      <c r="M10" s="2125"/>
      <c r="N10" s="2125"/>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25"/>
      <c r="D11" s="2127" t="s">
        <v>25</v>
      </c>
      <c r="E11" s="2125"/>
      <c r="F11" s="2133" t="s">
        <v>49</v>
      </c>
      <c r="G11" s="2127" t="s">
        <v>475</v>
      </c>
      <c r="H11" s="2125"/>
      <c r="I11" s="2127" t="s">
        <v>476</v>
      </c>
      <c r="J11" s="2127" t="s">
        <v>52</v>
      </c>
      <c r="K11" s="2125"/>
      <c r="L11" s="2127" t="s">
        <v>477</v>
      </c>
      <c r="M11" s="2125"/>
      <c r="N11" s="2163"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25"/>
      <c r="D12" s="503" t="s">
        <v>54</v>
      </c>
      <c r="E12" s="503" t="s">
        <v>55</v>
      </c>
      <c r="F12" s="2125"/>
      <c r="G12" s="503" t="s">
        <v>56</v>
      </c>
      <c r="H12" s="503" t="s">
        <v>57</v>
      </c>
      <c r="I12" s="2125"/>
      <c r="J12" s="503" t="s">
        <v>58</v>
      </c>
      <c r="K12" s="503" t="s">
        <v>510</v>
      </c>
      <c r="L12" s="503" t="s">
        <v>478</v>
      </c>
      <c r="M12" s="497" t="s">
        <v>509</v>
      </c>
      <c r="N12" s="2125"/>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2420</v>
      </c>
      <c r="E15" s="122">
        <f>'R-Entrada'!E56</f>
        <v>150</v>
      </c>
      <c r="F15" s="122">
        <f>'R-Entrada'!F56</f>
        <v>655</v>
      </c>
      <c r="G15" s="122">
        <f>'R-Entrada'!G56</f>
        <v>445</v>
      </c>
      <c r="H15" s="122">
        <f>'R-Entrada'!H56</f>
        <v>230</v>
      </c>
      <c r="I15" s="122">
        <f>'R-Entrada'!I56</f>
        <v>120</v>
      </c>
      <c r="J15" s="122">
        <f>'R-Entrada'!J56</f>
        <v>115</v>
      </c>
      <c r="K15" s="122">
        <f>'R-Entrada'!K56</f>
        <v>30</v>
      </c>
      <c r="L15" s="122">
        <f>'R-Entrada'!L56</f>
        <v>507</v>
      </c>
      <c r="M15" s="122">
        <f>'R-Entrada'!M56</f>
        <v>328.00000000000017</v>
      </c>
      <c r="N15" s="98">
        <f>SUM(D15:M15)</f>
        <v>5000</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2420</v>
      </c>
      <c r="E16" s="154">
        <f>SUM(E14:E15)</f>
        <v>150</v>
      </c>
      <c r="F16" s="154">
        <f t="shared" ref="F16:L16" si="0">SUM(F13:F15)</f>
        <v>655</v>
      </c>
      <c r="G16" s="154">
        <f t="shared" si="0"/>
        <v>445</v>
      </c>
      <c r="H16" s="154">
        <f t="shared" si="0"/>
        <v>230</v>
      </c>
      <c r="I16" s="154">
        <f t="shared" si="0"/>
        <v>120</v>
      </c>
      <c r="J16" s="154">
        <f t="shared" si="0"/>
        <v>115</v>
      </c>
      <c r="K16" s="154">
        <f t="shared" si="0"/>
        <v>30</v>
      </c>
      <c r="L16" s="154">
        <f t="shared" si="0"/>
        <v>507</v>
      </c>
      <c r="M16" s="154">
        <f>M15</f>
        <v>328.00000000000017</v>
      </c>
      <c r="N16" s="98">
        <f>SUM(N13:N15)</f>
        <v>5000</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163.75</v>
      </c>
      <c r="M24" s="115">
        <f>IF($E$28="Sim",F$13*'R-Avançado'!$H$11/100*$E$29/$N$13,0)</f>
        <v>0</v>
      </c>
      <c r="N24" s="115">
        <f>IF($E$32="Sim",F$13*'R-Avançado'!$G$11/100*$E$33/$N$13,0)</f>
        <v>0</v>
      </c>
      <c r="O24" s="628">
        <f>IF(AND($I$25&gt;0,$I$24="Sim"),$I$27/$N$15*F$15*'R-Avançado'!$F$11/100,0)</f>
        <v>163.75</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5000</v>
      </c>
      <c r="J25" s="591"/>
      <c r="K25" s="625" t="s">
        <v>29</v>
      </c>
      <c r="L25" s="114">
        <f t="shared" si="1"/>
        <v>111.25</v>
      </c>
      <c r="M25" s="115">
        <f>IF($E$28="Sim",G$13*'R-Avançado'!$H$11/100*$E$29/$N$13,0)</f>
        <v>0</v>
      </c>
      <c r="N25" s="115">
        <f>IF($E$32="Sim",G$13*'R-Avançado'!$G$11/100*$E$33/$N$13,0)</f>
        <v>0</v>
      </c>
      <c r="O25" s="628">
        <f>IF(AND($I$25&gt;0,$I$24="Sim"),$I$27/$N$15*G$15*'R-Avançado'!$F$11/100,0)</f>
        <v>111.25</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100</v>
      </c>
      <c r="J26" s="2170" t="str">
        <f>IF(AND(I24="Sim",I27&lt;&gt;0,I27&lt;50),"Mín. é 50 t/d. Rever Célula I26","")</f>
        <v/>
      </c>
      <c r="K26" s="625" t="s">
        <v>78</v>
      </c>
      <c r="L26" s="114">
        <f t="shared" si="1"/>
        <v>57.5</v>
      </c>
      <c r="M26" s="115">
        <f>IF($E$28="Sim",H$13*'R-Avançado'!$H$11/100*$E$29/$N$13,0)</f>
        <v>0</v>
      </c>
      <c r="N26" s="115">
        <f>IF($E$32="Sim",H$13*'R-Avançado'!$G$11/100*$E$33/$N$13,0)</f>
        <v>0</v>
      </c>
      <c r="O26" s="628">
        <f>IF(AND($I$25&gt;0,$I$24="Sim"),$I$27/$N$15*H$15*'R-Avançado'!$F$11/100,0)</f>
        <v>57.5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5000</v>
      </c>
      <c r="J27" s="2171"/>
      <c r="K27" s="625" t="s">
        <v>31</v>
      </c>
      <c r="L27" s="114">
        <f t="shared" si="1"/>
        <v>30</v>
      </c>
      <c r="M27" s="115">
        <f>IF($E$28="Sim",I$13*'R-Avançado'!$H$11/100*$E$29/$N$13,0)</f>
        <v>0</v>
      </c>
      <c r="N27" s="115">
        <f>IF($E$32="Sim",I$13*'R-Avançado'!$G$11/100*$E$33/$N$13,0)</f>
        <v>0</v>
      </c>
      <c r="O27" s="628">
        <f>IF(AND($I$25&gt;0,$I$24="Sim"),$I$27/$N$15*I$15*'R-Avançado'!$F$11/100,0)</f>
        <v>30</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70" t="str">
        <f>IF(E29&gt;100,"Máx. é 100 t/d. Rever Célula E25","")</f>
        <v/>
      </c>
      <c r="G28" s="640"/>
      <c r="H28" s="594" t="s">
        <v>81</v>
      </c>
      <c r="I28" s="959" t="s">
        <v>62</v>
      </c>
      <c r="J28" s="530"/>
      <c r="K28" s="625" t="s">
        <v>32</v>
      </c>
      <c r="L28" s="114">
        <f t="shared" si="1"/>
        <v>28.75</v>
      </c>
      <c r="M28" s="115">
        <f>IF($E$28="Sim",J$13*'R-Avançado'!$H$11/100*$E$29/$N$13,0)</f>
        <v>0</v>
      </c>
      <c r="N28" s="115">
        <f>IF($E$32="Sim",J$13*'R-Avançado'!$G$11/100*$E$33/$N$13,0)</f>
        <v>0</v>
      </c>
      <c r="O28" s="628">
        <f>IF(AND($I$25&gt;0,$I$24="Sim"),$I$27/$N$15*J$15*'R-Avançado'!$F$11/100,0)</f>
        <v>28.75</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71"/>
      <c r="G29" s="640"/>
      <c r="H29" s="594" t="s">
        <v>83</v>
      </c>
      <c r="I29" s="959" t="s">
        <v>61</v>
      </c>
      <c r="J29" s="530"/>
      <c r="K29" s="625" t="s">
        <v>84</v>
      </c>
      <c r="L29" s="114">
        <f t="shared" si="1"/>
        <v>7.5</v>
      </c>
      <c r="M29" s="115">
        <f>IF($E$28="Sim",K$13*'R-Avançado'!$H$11/100*$E$29/$N$13,0)</f>
        <v>0</v>
      </c>
      <c r="N29" s="115">
        <f>IF($E$32="Sim",K$13*'R-Avançado'!$G$11/100*$E$33/$N$13,0)</f>
        <v>0</v>
      </c>
      <c r="O29" s="628">
        <f>IF(AND($I$25&gt;0,$I$24="Sim"),$I$27/$N$15*K$15*'R-Avançado'!$F$11/100,0)</f>
        <v>7.5</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71"/>
      <c r="G30" s="434"/>
      <c r="H30" s="434"/>
      <c r="I30" s="434"/>
      <c r="J30" s="602"/>
      <c r="K30" s="626" t="s">
        <v>513</v>
      </c>
      <c r="L30" s="116">
        <f>SUM(L24:L29)</f>
        <v>398.75</v>
      </c>
      <c r="M30" s="199">
        <f>SUM(M24:M29)</f>
        <v>0</v>
      </c>
      <c r="N30" s="199">
        <f>SUM(N24:N29)</f>
        <v>0</v>
      </c>
      <c r="O30" s="629">
        <f>SUM(O24:O29)</f>
        <v>398.75</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51" t="s">
        <v>85</v>
      </c>
      <c r="H31" s="2152"/>
      <c r="I31" s="2153"/>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70" t="str">
        <f>IF(AND(E24&gt;0,E33&lt;50,E33&gt;0),"Mín. é 50 t/d. Rever Célula E25","")</f>
        <v/>
      </c>
      <c r="G32" s="631"/>
      <c r="H32" s="594" t="s">
        <v>92</v>
      </c>
      <c r="I32" s="732" t="s">
        <v>89</v>
      </c>
      <c r="J32" s="434"/>
      <c r="K32" s="233" t="s">
        <v>780</v>
      </c>
      <c r="L32" s="98">
        <f>O32+O33</f>
        <v>2184.5</v>
      </c>
      <c r="M32" s="644"/>
      <c r="N32" s="987" t="s">
        <v>54</v>
      </c>
      <c r="O32" s="985">
        <f>IF(AND($I$25&gt;0,$I$24="Sim"),I27/N15*D15*'R-Avançado'!E11/100,0)</f>
        <v>2057</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71"/>
      <c r="G33" s="631"/>
      <c r="H33" s="594" t="s">
        <v>93</v>
      </c>
      <c r="I33" s="732" t="s">
        <v>89</v>
      </c>
      <c r="J33" s="434"/>
      <c r="K33" s="233" t="s">
        <v>781</v>
      </c>
      <c r="L33" s="98">
        <f>'R-Entrada'!E45</f>
        <v>0</v>
      </c>
      <c r="M33" s="645"/>
      <c r="N33" s="987" t="s">
        <v>55</v>
      </c>
      <c r="O33" s="985">
        <f>IF(AND($I$25&gt;0,$I$24="Sim"),I27/N15*E15*'R-Avançado'!E11/100,0)</f>
        <v>127.5</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71"/>
      <c r="G34" s="641"/>
      <c r="H34" s="594" t="s">
        <v>960</v>
      </c>
      <c r="I34" s="958" t="s">
        <v>89</v>
      </c>
      <c r="J34" s="434"/>
      <c r="K34" s="642" t="s">
        <v>818</v>
      </c>
      <c r="L34" s="98">
        <f>SUM(M34:O34)</f>
        <v>1890</v>
      </c>
      <c r="M34" s="98">
        <f>IF(E28="Sim",E29*(1-'R-Avançado'!H11/100)*0.9,0)</f>
        <v>0</v>
      </c>
      <c r="N34" s="986">
        <f>IF(E32="Sim",E33*(1-'R-Avançado'!G11/100)*0.9,0)</f>
        <v>0</v>
      </c>
      <c r="O34" s="98">
        <f>D43+E43+F43+G43+H43+L43</f>
        <v>1890</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526.75000000000023</v>
      </c>
      <c r="M35" s="98">
        <f>IF(E28="Sim",E29*(1-'R-Avançado'!H11/100)*0.1,0)</f>
        <v>0</v>
      </c>
      <c r="N35" s="98">
        <f>IF(E32="Sim",E33*(1-'R-Avançado'!G11/100)*0.1,0)</f>
        <v>0</v>
      </c>
      <c r="O35" s="98">
        <f>M43+K43+J43+I43</f>
        <v>526.75000000000023</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31" t="s">
        <v>514</v>
      </c>
      <c r="E38" s="2132"/>
      <c r="F38" s="2132"/>
      <c r="G38" s="2132"/>
      <c r="H38" s="2132"/>
      <c r="I38" s="2132"/>
      <c r="J38" s="2132"/>
      <c r="K38" s="2132"/>
      <c r="L38" s="2132"/>
      <c r="M38" s="2132"/>
      <c r="N38" s="2132"/>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31" t="s">
        <v>25</v>
      </c>
      <c r="E39" s="2169"/>
      <c r="F39" s="2146" t="s">
        <v>49</v>
      </c>
      <c r="G39" s="2131" t="s">
        <v>475</v>
      </c>
      <c r="H39" s="2169"/>
      <c r="I39" s="2131" t="s">
        <v>51</v>
      </c>
      <c r="J39" s="2131" t="s">
        <v>52</v>
      </c>
      <c r="K39" s="2169"/>
      <c r="L39" s="2131" t="s">
        <v>477</v>
      </c>
      <c r="M39" s="2169"/>
      <c r="N39" s="2140"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72"/>
      <c r="G40" s="499" t="s">
        <v>56</v>
      </c>
      <c r="H40" s="499" t="s">
        <v>57</v>
      </c>
      <c r="I40" s="2169"/>
      <c r="J40" s="499" t="s">
        <v>58</v>
      </c>
      <c r="K40" s="499" t="s">
        <v>510</v>
      </c>
      <c r="L40" s="499" t="s">
        <v>478</v>
      </c>
      <c r="M40" s="500" t="s">
        <v>509</v>
      </c>
      <c r="N40" s="2169"/>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2420</v>
      </c>
      <c r="E41" s="121">
        <f t="shared" si="2"/>
        <v>150</v>
      </c>
      <c r="F41" s="121">
        <f t="shared" si="2"/>
        <v>655</v>
      </c>
      <c r="G41" s="121">
        <f t="shared" si="2"/>
        <v>445</v>
      </c>
      <c r="H41" s="121">
        <f t="shared" si="2"/>
        <v>230</v>
      </c>
      <c r="I41" s="121">
        <f t="shared" si="2"/>
        <v>120</v>
      </c>
      <c r="J41" s="121">
        <f t="shared" si="2"/>
        <v>115</v>
      </c>
      <c r="K41" s="121">
        <f t="shared" si="2"/>
        <v>30</v>
      </c>
      <c r="L41" s="121">
        <f t="shared" si="2"/>
        <v>507</v>
      </c>
      <c r="M41" s="121">
        <f t="shared" si="2"/>
        <v>328.00000000000017</v>
      </c>
      <c r="N41" s="98">
        <f>SUM(D41:M41)</f>
        <v>5000</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2057</v>
      </c>
      <c r="E42" s="121">
        <f>O33</f>
        <v>127.5</v>
      </c>
      <c r="F42" s="121">
        <f>O24</f>
        <v>163.75</v>
      </c>
      <c r="G42" s="121">
        <f>O25</f>
        <v>111.25</v>
      </c>
      <c r="H42" s="121">
        <f>O26</f>
        <v>57.5</v>
      </c>
      <c r="I42" s="121">
        <f>O27</f>
        <v>30</v>
      </c>
      <c r="J42" s="121">
        <f>O28</f>
        <v>28.75</v>
      </c>
      <c r="K42" s="121">
        <f>O29</f>
        <v>7.5</v>
      </c>
      <c r="L42" s="121">
        <v>0</v>
      </c>
      <c r="M42" s="121">
        <v>0</v>
      </c>
      <c r="N42" s="98">
        <f>SUM(D42:M42)</f>
        <v>2583.25</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363</v>
      </c>
      <c r="E43" s="122">
        <f t="shared" si="3"/>
        <v>22.5</v>
      </c>
      <c r="F43" s="122">
        <f t="shared" si="3"/>
        <v>491.25</v>
      </c>
      <c r="G43" s="122">
        <f t="shared" si="3"/>
        <v>333.75</v>
      </c>
      <c r="H43" s="122">
        <f t="shared" si="3"/>
        <v>172.5</v>
      </c>
      <c r="I43" s="122">
        <f t="shared" si="3"/>
        <v>90</v>
      </c>
      <c r="J43" s="122">
        <f t="shared" si="3"/>
        <v>86.25</v>
      </c>
      <c r="K43" s="122">
        <f t="shared" si="3"/>
        <v>22.5</v>
      </c>
      <c r="L43" s="122">
        <f t="shared" si="3"/>
        <v>507</v>
      </c>
      <c r="M43" s="122">
        <f t="shared" si="3"/>
        <v>328.00000000000017</v>
      </c>
      <c r="N43" s="98">
        <f>SUM(D43:M43)</f>
        <v>2416.75</v>
      </c>
      <c r="O43" s="548"/>
      <c r="P43" s="492"/>
      <c r="Q43" s="544"/>
      <c r="R43" s="544"/>
      <c r="S43" s="544" t="s">
        <v>62</v>
      </c>
      <c r="T43" s="544">
        <f>IF($I$28="CDR",O34,0)</f>
        <v>1890</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1890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897.75</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1890</v>
      </c>
      <c r="F51" s="434"/>
      <c r="G51" s="92"/>
      <c r="H51" s="118" t="s">
        <v>520</v>
      </c>
      <c r="I51" s="98">
        <f>IF(E52=0,I49,0)</f>
        <v>1890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945</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47.25</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2184.5</v>
      </c>
      <c r="F59" s="356">
        <f>IF(E59&gt;0,E59/E60,"")</f>
        <v>1</v>
      </c>
      <c r="G59" s="433"/>
      <c r="H59" s="132"/>
      <c r="I59" s="118" t="s">
        <v>110</v>
      </c>
      <c r="J59" s="131">
        <v>100</v>
      </c>
      <c r="K59" s="653" t="str">
        <f>IF(J59&lt;&gt;0,"&gt;&gt;&gt;&gt;","")</f>
        <v>&gt;&gt;&gt;&gt;</v>
      </c>
      <c r="L59" s="654">
        <f>IF(J59&gt;0,J59/100*E60,"")</f>
        <v>2184.5</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2184.5</v>
      </c>
      <c r="F60" s="358">
        <f>IF(E60&gt;0,E60/E60,"")</f>
        <v>1</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9" t="s">
        <v>113</v>
      </c>
      <c r="O61" s="2150"/>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2184.5</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1856.825</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1856.825</v>
      </c>
      <c r="K68" s="433"/>
      <c r="L68" s="433"/>
      <c r="M68" s="132"/>
      <c r="N68" s="118" t="s">
        <v>134</v>
      </c>
      <c r="O68" s="661">
        <f>O64-O64*(F69+F71)</f>
        <v>835.57124999999996</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274045.52500000002</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68511.381250000006</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58" t="s">
        <v>126</v>
      </c>
      <c r="J72" s="2159"/>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464.20625000000001</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884.72250000000008</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56" t="s">
        <v>533</v>
      </c>
      <c r="E77" s="2157"/>
      <c r="F77" s="2157"/>
      <c r="G77" s="2157"/>
      <c r="H77" s="2157"/>
      <c r="I77" s="2157"/>
      <c r="J77" s="2157"/>
      <c r="K77" s="2157"/>
      <c r="L77" s="2157"/>
      <c r="M77" s="2157"/>
      <c r="N77" s="2157"/>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56" t="s">
        <v>25</v>
      </c>
      <c r="E78" s="2157"/>
      <c r="F78" s="2161" t="s">
        <v>49</v>
      </c>
      <c r="G78" s="2156" t="s">
        <v>475</v>
      </c>
      <c r="H78" s="2157"/>
      <c r="I78" s="2156" t="s">
        <v>476</v>
      </c>
      <c r="J78" s="2156" t="s">
        <v>52</v>
      </c>
      <c r="K78" s="2157"/>
      <c r="L78" s="2156" t="s">
        <v>477</v>
      </c>
      <c r="M78" s="2157"/>
      <c r="N78" s="2160"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62"/>
      <c r="G79" s="505" t="s">
        <v>56</v>
      </c>
      <c r="H79" s="505" t="s">
        <v>57</v>
      </c>
      <c r="I79" s="2157"/>
      <c r="J79" s="505" t="s">
        <v>58</v>
      </c>
      <c r="K79" s="505" t="s">
        <v>510</v>
      </c>
      <c r="L79" s="505" t="s">
        <v>478</v>
      </c>
      <c r="M79" s="506" t="s">
        <v>509</v>
      </c>
      <c r="N79" s="2157"/>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363</v>
      </c>
      <c r="E80" s="135">
        <f t="shared" si="5"/>
        <v>22.5</v>
      </c>
      <c r="F80" s="135">
        <f t="shared" si="5"/>
        <v>491.25</v>
      </c>
      <c r="G80" s="135">
        <f t="shared" si="5"/>
        <v>333.75</v>
      </c>
      <c r="H80" s="135">
        <f t="shared" si="5"/>
        <v>172.5</v>
      </c>
      <c r="I80" s="135">
        <f t="shared" si="5"/>
        <v>90</v>
      </c>
      <c r="J80" s="135">
        <f t="shared" si="5"/>
        <v>86.25</v>
      </c>
      <c r="K80" s="135">
        <f t="shared" si="5"/>
        <v>22.5</v>
      </c>
      <c r="L80" s="135">
        <f t="shared" si="5"/>
        <v>507</v>
      </c>
      <c r="M80" s="135">
        <f t="shared" si="5"/>
        <v>328.00000000000017</v>
      </c>
      <c r="N80" s="669">
        <f>SUM(D80:M80)</f>
        <v>2416.75</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363</v>
      </c>
      <c r="E82" s="141">
        <f t="shared" si="7"/>
        <v>22.5</v>
      </c>
      <c r="F82" s="141">
        <f t="shared" si="7"/>
        <v>491.25</v>
      </c>
      <c r="G82" s="141">
        <f t="shared" si="7"/>
        <v>333.75</v>
      </c>
      <c r="H82" s="141">
        <f t="shared" si="7"/>
        <v>172.5</v>
      </c>
      <c r="I82" s="141">
        <f t="shared" si="7"/>
        <v>90</v>
      </c>
      <c r="J82" s="141">
        <f t="shared" si="7"/>
        <v>86.25</v>
      </c>
      <c r="K82" s="141">
        <f t="shared" si="7"/>
        <v>22.5</v>
      </c>
      <c r="L82" s="141">
        <f t="shared" si="7"/>
        <v>507</v>
      </c>
      <c r="M82" s="141">
        <f t="shared" si="7"/>
        <v>328.00000000000017</v>
      </c>
      <c r="N82" s="670">
        <f>SUM(D82:M82)</f>
        <v>2416.75</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363</v>
      </c>
      <c r="E86" s="200">
        <f t="shared" si="8"/>
        <v>22.5</v>
      </c>
      <c r="F86" s="200">
        <f t="shared" si="8"/>
        <v>491.25</v>
      </c>
      <c r="G86" s="200">
        <f t="shared" si="8"/>
        <v>333.75</v>
      </c>
      <c r="H86" s="200">
        <f t="shared" si="8"/>
        <v>172.5</v>
      </c>
      <c r="I86" s="200">
        <f t="shared" si="8"/>
        <v>0</v>
      </c>
      <c r="J86" s="200">
        <f t="shared" si="8"/>
        <v>0</v>
      </c>
      <c r="K86" s="200">
        <f t="shared" si="8"/>
        <v>0</v>
      </c>
      <c r="L86" s="200">
        <f t="shared" si="8"/>
        <v>507</v>
      </c>
      <c r="M86" s="200">
        <f t="shared" si="8"/>
        <v>0</v>
      </c>
      <c r="N86" s="200">
        <f>SUM(D86:M86)</f>
        <v>1890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363</v>
      </c>
      <c r="E87" s="143">
        <f>IF($E$51&gt;0,E43,0)</f>
        <v>22.5</v>
      </c>
      <c r="F87" s="143">
        <f>IF($E$51&gt;0,F43,0)</f>
        <v>491.25</v>
      </c>
      <c r="G87" s="143">
        <f>IF($E$51&gt;0,G43,0)</f>
        <v>333.75</v>
      </c>
      <c r="H87" s="143">
        <f>IF($E$51&gt;0,H43,0)</f>
        <v>172.5</v>
      </c>
      <c r="I87" s="133"/>
      <c r="J87" s="133"/>
      <c r="K87" s="133"/>
      <c r="L87" s="156">
        <f>IF($E$51&gt;0,L43,0)</f>
        <v>507</v>
      </c>
      <c r="M87" s="143"/>
      <c r="N87" s="677">
        <f>SUM(D87:M87)</f>
        <v>1890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0</v>
      </c>
      <c r="E90" s="135">
        <f t="shared" si="9"/>
        <v>0</v>
      </c>
      <c r="F90" s="135">
        <f t="shared" si="9"/>
        <v>0</v>
      </c>
      <c r="G90" s="135">
        <f t="shared" si="9"/>
        <v>0</v>
      </c>
      <c r="H90" s="135">
        <f t="shared" si="9"/>
        <v>0</v>
      </c>
      <c r="I90" s="135">
        <f t="shared" si="9"/>
        <v>90</v>
      </c>
      <c r="J90" s="135">
        <f t="shared" si="9"/>
        <v>86.25</v>
      </c>
      <c r="K90" s="135">
        <f t="shared" si="9"/>
        <v>22.5</v>
      </c>
      <c r="L90" s="135">
        <f t="shared" si="9"/>
        <v>0</v>
      </c>
      <c r="M90" s="135">
        <f t="shared" si="9"/>
        <v>328.00000000000017</v>
      </c>
      <c r="N90" s="669">
        <f>SUM(D90:M90)</f>
        <v>526.75000000000023</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90</v>
      </c>
      <c r="J94" s="200">
        <f t="shared" si="11"/>
        <v>86.25</v>
      </c>
      <c r="K94" s="200">
        <f t="shared" si="11"/>
        <v>22.5</v>
      </c>
      <c r="L94" s="200">
        <f t="shared" si="11"/>
        <v>0</v>
      </c>
      <c r="M94" s="200">
        <f>SUM(M95:M101)</f>
        <v>1737.2062500000002</v>
      </c>
      <c r="N94" s="200">
        <f t="shared" ref="N94:N101" si="12">SUM(D94:M94)</f>
        <v>1935.9562500000002</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90</v>
      </c>
      <c r="J96" s="141">
        <f t="shared" si="14"/>
        <v>86.25</v>
      </c>
      <c r="K96" s="141">
        <f t="shared" si="14"/>
        <v>22.5</v>
      </c>
      <c r="L96" s="141">
        <f>IF(OR($I$28="Incineração",I28="CDR"),0,L43)</f>
        <v>0</v>
      </c>
      <c r="M96" s="141">
        <f>IF($I$28="Incineração",0,M43)</f>
        <v>328.00000000000017</v>
      </c>
      <c r="N96" s="670">
        <f t="shared" si="12"/>
        <v>526.75000000000023</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1409.20625</v>
      </c>
      <c r="N100" s="670">
        <f t="shared" si="12"/>
        <v>1409.20625</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54"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0</v>
      </c>
      <c r="F110" s="2155"/>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0</v>
      </c>
      <c r="F111" s="2155"/>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0</v>
      </c>
      <c r="F112" s="2155"/>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55"/>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0</v>
      </c>
      <c r="F114" s="2155"/>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55"/>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1935.9562500000002</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1310.4693749999999</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J23" sqref="J23"/>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75" t="str">
        <f>IF('R-Entrada'!D2&lt;&gt;0,'R-Entrada'!D2,"")</f>
        <v>CIRSOP - Consórcio RSU Oeste Paulista</v>
      </c>
      <c r="E2" s="2176"/>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75" t="str">
        <f>IF('R-Entrada'!D3&lt;&gt;0,'R-Entrada'!D3,"")</f>
        <v>Biodigestão c/ Prod. E. Elétrica</v>
      </c>
      <c r="E3" s="2176"/>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77" t="s">
        <v>473</v>
      </c>
      <c r="O5" s="2178"/>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30" t="str">
        <f>Apresentação!I2</f>
        <v>RC-RSU V.1.0 - 15/10/2020</v>
      </c>
      <c r="O6" s="2178"/>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92" t="s">
        <v>958</v>
      </c>
      <c r="F8" s="2193"/>
      <c r="G8" s="2193"/>
      <c r="H8" s="2194"/>
      <c r="I8" s="484"/>
      <c r="J8" s="2197"/>
      <c r="K8" s="2198"/>
      <c r="L8" s="2195" t="s">
        <v>186</v>
      </c>
      <c r="M8" s="2195" t="s">
        <v>535</v>
      </c>
      <c r="N8" s="484"/>
      <c r="O8" s="484"/>
      <c r="P8" s="484"/>
      <c r="Q8" s="484"/>
      <c r="R8" s="484"/>
      <c r="S8" s="484"/>
      <c r="T8" s="484"/>
      <c r="U8" s="484"/>
    </row>
    <row r="9" spans="1:21" ht="18" customHeight="1" x14ac:dyDescent="0.25">
      <c r="A9" s="484"/>
      <c r="B9" s="484"/>
      <c r="C9" s="484"/>
      <c r="D9" s="2203"/>
      <c r="E9" s="748" t="s">
        <v>25</v>
      </c>
      <c r="F9" s="2192" t="s">
        <v>959</v>
      </c>
      <c r="G9" s="2193"/>
      <c r="H9" s="2194"/>
      <c r="I9" s="484"/>
      <c r="J9" s="2199"/>
      <c r="K9" s="2200"/>
      <c r="L9" s="2196"/>
      <c r="M9" s="2196"/>
      <c r="N9" s="484"/>
      <c r="O9" s="484"/>
      <c r="P9" s="484"/>
      <c r="Q9" s="484"/>
      <c r="R9" s="484"/>
      <c r="S9" s="484"/>
      <c r="T9" s="484"/>
      <c r="U9" s="484"/>
    </row>
    <row r="10" spans="1:21" ht="18" customHeight="1" x14ac:dyDescent="0.25">
      <c r="A10" s="484"/>
      <c r="B10" s="484"/>
      <c r="C10" s="484"/>
      <c r="D10" s="2204"/>
      <c r="E10" s="1627" t="s">
        <v>730</v>
      </c>
      <c r="F10" s="517" t="s">
        <v>730</v>
      </c>
      <c r="G10" s="517" t="s">
        <v>731</v>
      </c>
      <c r="H10" s="517" t="s">
        <v>557</v>
      </c>
      <c r="I10" s="484"/>
      <c r="J10" s="2201"/>
      <c r="K10" s="2202"/>
      <c r="L10" s="2196"/>
      <c r="M10" s="2196"/>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5" t="s">
        <v>536</v>
      </c>
      <c r="K11" s="2185"/>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5" t="s">
        <v>537</v>
      </c>
      <c r="K12" s="2185"/>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205" t="s">
        <v>191</v>
      </c>
      <c r="E17" s="514" t="s">
        <v>192</v>
      </c>
      <c r="F17" s="514" t="s">
        <v>999</v>
      </c>
      <c r="G17" s="484"/>
      <c r="H17" s="2207"/>
      <c r="I17" s="2207" t="s">
        <v>193</v>
      </c>
      <c r="J17" s="2157"/>
      <c r="K17" s="484"/>
      <c r="L17" s="2206" t="s">
        <v>744</v>
      </c>
      <c r="M17" s="2169"/>
      <c r="N17" s="484"/>
      <c r="O17" s="484"/>
      <c r="P17" s="484"/>
      <c r="Q17" s="484"/>
      <c r="R17" s="484"/>
      <c r="S17" s="484"/>
      <c r="T17" s="484"/>
      <c r="U17" s="484"/>
    </row>
    <row r="18" spans="1:21" ht="18" customHeight="1" x14ac:dyDescent="0.25">
      <c r="A18" s="484"/>
      <c r="B18" s="484"/>
      <c r="C18" s="729"/>
      <c r="D18" s="2157"/>
      <c r="E18" s="1712" t="s">
        <v>1062</v>
      </c>
      <c r="F18" s="1712" t="s">
        <v>998</v>
      </c>
      <c r="G18" s="484"/>
      <c r="H18" s="2157"/>
      <c r="I18" s="514" t="s">
        <v>189</v>
      </c>
      <c r="J18" s="717" t="s">
        <v>132</v>
      </c>
      <c r="K18" s="484"/>
      <c r="L18" s="2169"/>
      <c r="M18" s="2169"/>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83" t="s">
        <v>745</v>
      </c>
      <c r="E23" s="2184"/>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83" t="s">
        <v>538</v>
      </c>
      <c r="E24" s="2184"/>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187"/>
      <c r="D27" s="2188"/>
      <c r="E27" s="2188"/>
      <c r="F27" s="340" t="s">
        <v>195</v>
      </c>
      <c r="G27" s="484"/>
      <c r="H27" s="2191" t="s">
        <v>539</v>
      </c>
      <c r="I27" s="2169"/>
      <c r="J27" s="2169"/>
      <c r="K27" s="484"/>
      <c r="L27" s="2186"/>
      <c r="M27" s="2157"/>
      <c r="N27" s="2157"/>
      <c r="O27" s="514" t="s">
        <v>289</v>
      </c>
      <c r="P27" s="484"/>
      <c r="Q27" s="484"/>
      <c r="R27" s="484"/>
      <c r="S27" s="484"/>
      <c r="T27" s="484"/>
      <c r="U27" s="484"/>
    </row>
    <row r="28" spans="1:21" ht="18" customHeight="1" x14ac:dyDescent="0.25">
      <c r="A28" s="484"/>
      <c r="B28" s="484"/>
      <c r="C28" s="2183" t="s">
        <v>746</v>
      </c>
      <c r="D28" s="2184"/>
      <c r="E28" s="2184"/>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83" t="s">
        <v>196</v>
      </c>
      <c r="D29" s="2184"/>
      <c r="E29" s="2184"/>
      <c r="F29" s="214">
        <v>20</v>
      </c>
      <c r="G29" s="484"/>
      <c r="H29" s="214">
        <v>50</v>
      </c>
      <c r="I29" s="214">
        <v>30</v>
      </c>
      <c r="J29" s="214">
        <v>10</v>
      </c>
      <c r="K29" s="484"/>
      <c r="L29" s="2189" t="s">
        <v>541</v>
      </c>
      <c r="M29" s="2190"/>
      <c r="N29" s="2190"/>
      <c r="O29" s="1585">
        <v>35</v>
      </c>
      <c r="P29" s="484"/>
      <c r="Q29" s="484"/>
      <c r="R29" s="484"/>
      <c r="S29" s="484"/>
      <c r="T29" s="484"/>
      <c r="U29" s="484"/>
    </row>
    <row r="30" spans="1:21" ht="18" customHeight="1" x14ac:dyDescent="0.25">
      <c r="A30" s="484"/>
      <c r="B30" s="484"/>
      <c r="C30" s="2183" t="s">
        <v>159</v>
      </c>
      <c r="D30" s="2184"/>
      <c r="E30" s="2184"/>
      <c r="F30" s="214">
        <v>90</v>
      </c>
      <c r="G30" s="484"/>
      <c r="H30" s="170"/>
      <c r="I30" s="213"/>
      <c r="J30" s="170"/>
      <c r="K30" s="484"/>
      <c r="L30" s="2189" t="s">
        <v>747</v>
      </c>
      <c r="M30" s="2190"/>
      <c r="N30" s="2190"/>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181"/>
      <c r="C33" s="2182"/>
      <c r="D33" s="2182"/>
      <c r="E33" s="2131" t="s">
        <v>198</v>
      </c>
      <c r="F33" s="2169"/>
      <c r="G33" s="2169"/>
      <c r="H33" s="2169"/>
      <c r="I33" s="2169"/>
      <c r="J33" s="2169"/>
      <c r="K33" s="2169"/>
      <c r="L33" s="2169"/>
      <c r="M33" s="2169"/>
      <c r="N33" s="2169"/>
      <c r="O33" s="484"/>
      <c r="P33" s="484"/>
      <c r="Q33" s="484"/>
      <c r="R33" s="484"/>
      <c r="S33" s="484"/>
      <c r="T33" s="484"/>
      <c r="U33" s="484"/>
    </row>
    <row r="34" spans="1:21" ht="18" customHeight="1" x14ac:dyDescent="0.25">
      <c r="A34" s="484"/>
      <c r="B34" s="2182"/>
      <c r="C34" s="2182"/>
      <c r="D34" s="2182"/>
      <c r="E34" s="2131" t="s">
        <v>25</v>
      </c>
      <c r="F34" s="2169"/>
      <c r="G34" s="2146" t="s">
        <v>49</v>
      </c>
      <c r="H34" s="2131" t="s">
        <v>475</v>
      </c>
      <c r="I34" s="2169"/>
      <c r="J34" s="2131" t="s">
        <v>476</v>
      </c>
      <c r="K34" s="2131" t="s">
        <v>52</v>
      </c>
      <c r="L34" s="2169"/>
      <c r="M34" s="2131" t="s">
        <v>477</v>
      </c>
      <c r="N34" s="2169"/>
      <c r="O34" s="484"/>
      <c r="P34" s="484"/>
      <c r="Q34" s="484"/>
      <c r="R34" s="484"/>
      <c r="S34" s="484"/>
      <c r="T34" s="484"/>
      <c r="U34" s="484"/>
    </row>
    <row r="35" spans="1:21" ht="18" customHeight="1" x14ac:dyDescent="0.25">
      <c r="A35" s="484"/>
      <c r="B35" s="2182"/>
      <c r="C35" s="2182"/>
      <c r="D35" s="2182"/>
      <c r="E35" s="499" t="s">
        <v>54</v>
      </c>
      <c r="F35" s="499" t="s">
        <v>479</v>
      </c>
      <c r="G35" s="2169"/>
      <c r="H35" s="499" t="s">
        <v>56</v>
      </c>
      <c r="I35" s="499" t="s">
        <v>57</v>
      </c>
      <c r="J35" s="2169"/>
      <c r="K35" s="499" t="s">
        <v>58</v>
      </c>
      <c r="L35" s="499" t="s">
        <v>510</v>
      </c>
      <c r="M35" s="499" t="s">
        <v>478</v>
      </c>
      <c r="N35" s="499" t="s">
        <v>509</v>
      </c>
      <c r="O35" s="484"/>
      <c r="P35" s="484"/>
      <c r="Q35" s="484"/>
      <c r="R35" s="484"/>
      <c r="S35" s="484"/>
      <c r="T35" s="484"/>
      <c r="U35" s="484"/>
    </row>
    <row r="36" spans="1:21" ht="18" customHeight="1" x14ac:dyDescent="0.25">
      <c r="A36" s="484"/>
      <c r="B36" s="2185" t="s">
        <v>480</v>
      </c>
      <c r="C36" s="2180"/>
      <c r="D36" s="2180"/>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5" t="s">
        <v>748</v>
      </c>
      <c r="C37" s="2180"/>
      <c r="D37" s="2180"/>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179" t="s">
        <v>831</v>
      </c>
      <c r="C38" s="2180"/>
      <c r="D38" s="2180"/>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6" t="s">
        <v>834</v>
      </c>
      <c r="C1" s="2237"/>
      <c r="D1" s="2237"/>
      <c r="E1" s="2237"/>
      <c r="F1" s="2237"/>
      <c r="G1" s="2237"/>
      <c r="H1" s="2237"/>
      <c r="I1" s="2237"/>
      <c r="J1" s="2237"/>
      <c r="K1" s="2237"/>
      <c r="L1" s="2237"/>
      <c r="M1" s="2237"/>
      <c r="N1" s="2237"/>
      <c r="O1" s="2237"/>
      <c r="P1" s="2238"/>
      <c r="Q1" s="2238"/>
      <c r="R1" s="2223" t="s">
        <v>199</v>
      </c>
      <c r="S1" s="2224"/>
      <c r="T1" s="2224"/>
      <c r="U1" s="2224"/>
      <c r="V1" s="2229" t="str">
        <f>IF('R-Entrada'!D3&lt;&gt;0,'R-Entrada'!D3,"")</f>
        <v>Biodigestão c/ Prod. E. Elétrica</v>
      </c>
      <c r="W1" s="2230"/>
      <c r="X1" s="2230"/>
      <c r="Y1" s="2230"/>
      <c r="Z1" s="2230"/>
      <c r="AA1" s="2230"/>
      <c r="AB1" s="2231"/>
      <c r="AC1" s="2223" t="s">
        <v>4</v>
      </c>
      <c r="AD1" s="2224"/>
      <c r="AE1" s="2224"/>
      <c r="AF1" s="2224"/>
      <c r="AG1" s="2229" t="str">
        <f>IF('R-Entrada'!D2&lt;&gt;0,'R-Entrada'!D2,"")</f>
        <v>CIRSOP - Consórcio RSU Oeste Paulista</v>
      </c>
      <c r="AH1" s="2230"/>
      <c r="AI1" s="2230"/>
      <c r="AJ1" s="2230"/>
      <c r="AK1" s="2230"/>
      <c r="AL1" s="2230"/>
      <c r="AM1" s="2230"/>
      <c r="AN1" s="2230"/>
      <c r="AO1" s="2230"/>
      <c r="AP1" s="2230"/>
      <c r="AQ1" s="2230"/>
      <c r="AR1" s="2231"/>
      <c r="AS1" s="1026" t="s">
        <v>828</v>
      </c>
      <c r="AT1" s="1023"/>
      <c r="AV1" s="165"/>
    </row>
    <row r="2" spans="2:69" s="164" customFormat="1" ht="3" customHeight="1" x14ac:dyDescent="0.25">
      <c r="B2" s="2232"/>
      <c r="C2" s="2214"/>
      <c r="D2" s="2214"/>
      <c r="E2" s="2214"/>
      <c r="F2" s="2214"/>
      <c r="G2" s="2214"/>
      <c r="H2" s="2214"/>
      <c r="I2" s="2215"/>
      <c r="J2" s="166"/>
      <c r="K2" s="2227"/>
      <c r="L2" s="2214"/>
      <c r="M2" s="2214"/>
      <c r="N2" s="2214"/>
      <c r="O2" s="2214"/>
      <c r="P2" s="2214"/>
      <c r="Q2" s="2214"/>
      <c r="R2" s="2214"/>
      <c r="S2" s="2214"/>
      <c r="T2" s="2214"/>
      <c r="U2" s="2214"/>
      <c r="V2" s="2214"/>
      <c r="W2" s="2214"/>
      <c r="X2" s="2214"/>
      <c r="Y2" s="2214"/>
      <c r="Z2" s="2214"/>
      <c r="AA2" s="2214"/>
      <c r="AB2" s="2214"/>
      <c r="AC2" s="2214"/>
      <c r="AD2" s="2214"/>
      <c r="AE2" s="2214"/>
      <c r="AF2" s="2214"/>
      <c r="AG2" s="2214"/>
      <c r="AH2" s="2214"/>
      <c r="AI2" s="2214"/>
      <c r="AJ2" s="2215"/>
      <c r="AK2" s="2227"/>
      <c r="AL2" s="2214"/>
      <c r="AM2" s="2214"/>
      <c r="AN2" s="2214"/>
      <c r="AO2" s="2214"/>
      <c r="AP2" s="2214"/>
      <c r="AQ2" s="2214"/>
      <c r="AR2" s="2214"/>
      <c r="AS2" s="2214"/>
      <c r="AT2" s="2228"/>
      <c r="AU2" s="165"/>
    </row>
    <row r="3" spans="2:69" s="164" customFormat="1" ht="16.899999999999999" customHeight="1" x14ac:dyDescent="0.25">
      <c r="B3" s="167"/>
      <c r="C3" s="158">
        <f>'R-Entrada'!E14</f>
        <v>5000</v>
      </c>
      <c r="D3" s="168"/>
      <c r="E3" s="2213" t="s">
        <v>200</v>
      </c>
      <c r="F3" s="2214"/>
      <c r="G3" s="2214"/>
      <c r="H3" s="2215"/>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13" t="s">
        <v>201</v>
      </c>
      <c r="F5" s="2214"/>
      <c r="G5" s="2214"/>
      <c r="H5" s="2215"/>
      <c r="I5" s="166"/>
      <c r="J5" s="166"/>
      <c r="K5" s="166"/>
      <c r="L5" s="166"/>
      <c r="M5" s="166"/>
      <c r="N5" s="166"/>
      <c r="O5" s="166"/>
      <c r="P5" s="166"/>
      <c r="Q5" s="166"/>
      <c r="R5" s="166"/>
      <c r="S5" s="166"/>
      <c r="T5" s="166"/>
      <c r="U5" s="166"/>
      <c r="V5" s="166"/>
      <c r="W5" s="166"/>
      <c r="X5" s="166"/>
      <c r="Y5" s="166"/>
      <c r="Z5" s="166"/>
      <c r="AA5" s="166"/>
      <c r="AB5" s="2233" t="s">
        <v>473</v>
      </c>
      <c r="AC5" s="2173"/>
      <c r="AD5" s="2173"/>
      <c r="AE5" s="2173"/>
      <c r="AF5" s="2173"/>
      <c r="AG5" s="2173"/>
      <c r="AH5" s="2173"/>
      <c r="AI5" s="2173"/>
      <c r="AJ5" s="2173"/>
      <c r="AK5" s="2173"/>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13" t="s">
        <v>59</v>
      </c>
      <c r="F7" s="2214"/>
      <c r="G7" s="2214"/>
      <c r="H7" s="2215"/>
      <c r="I7" s="166"/>
      <c r="J7" s="166"/>
      <c r="K7" s="166"/>
      <c r="L7" s="166"/>
      <c r="M7" s="166"/>
      <c r="N7" s="166"/>
      <c r="O7" s="166"/>
      <c r="P7" s="166"/>
      <c r="Q7" s="166"/>
      <c r="R7" s="166"/>
      <c r="S7" s="166"/>
      <c r="T7" s="166"/>
      <c r="U7" s="166"/>
      <c r="V7" s="166"/>
      <c r="W7" s="166"/>
      <c r="X7" s="166"/>
      <c r="Y7" s="166"/>
      <c r="Z7" s="166"/>
      <c r="AA7" s="166"/>
      <c r="AB7" s="2234" t="str">
        <f>Apresentação!I2</f>
        <v>RC-RSU V.1.0 - 15/10/2020</v>
      </c>
      <c r="AC7" s="2235"/>
      <c r="AD7" s="2235"/>
      <c r="AE7" s="2235"/>
      <c r="AF7" s="2235"/>
      <c r="AG7" s="2235"/>
      <c r="AH7" s="2235"/>
      <c r="AI7" s="2235"/>
      <c r="AJ7" s="2235"/>
      <c r="AK7" s="2235"/>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5000</v>
      </c>
      <c r="D9" s="166"/>
      <c r="E9" s="2213" t="s">
        <v>202</v>
      </c>
      <c r="F9" s="2214"/>
      <c r="G9" s="2214"/>
      <c r="H9" s="2215"/>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5000</v>
      </c>
      <c r="D11" s="166"/>
      <c r="E11" s="2225" t="s">
        <v>835</v>
      </c>
      <c r="F11" s="2226"/>
      <c r="G11" s="2226"/>
      <c r="H11" s="222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8" t="s">
        <v>203</v>
      </c>
      <c r="AP11" s="159"/>
      <c r="AQ11" s="2218" t="s">
        <v>204</v>
      </c>
      <c r="AR11" s="159"/>
      <c r="AS11" s="2218"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21"/>
      <c r="AP12" s="159"/>
      <c r="AQ12" s="2219"/>
      <c r="AR12" s="159"/>
      <c r="AS12" s="2219"/>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2"/>
      <c r="AP13" s="159"/>
      <c r="AQ13" s="2220"/>
      <c r="AR13" s="159"/>
      <c r="AS13" s="2220"/>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16" t="s">
        <v>832</v>
      </c>
      <c r="J15" s="2214"/>
      <c r="K15" s="2214"/>
      <c r="L15" s="2214"/>
      <c r="M15" s="2214"/>
      <c r="N15" s="2214"/>
      <c r="O15" s="2215"/>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16" t="s">
        <v>833</v>
      </c>
      <c r="M19" s="2214"/>
      <c r="N19" s="2214"/>
      <c r="O19" s="2214"/>
      <c r="P19" s="2214"/>
      <c r="Q19" s="2214"/>
      <c r="R19" s="2215"/>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5000</v>
      </c>
      <c r="G23" s="166"/>
      <c r="H23" s="166"/>
      <c r="I23" s="166"/>
      <c r="J23" s="166"/>
      <c r="K23" s="166"/>
      <c r="L23" s="166"/>
      <c r="M23" s="166"/>
      <c r="N23" s="166"/>
      <c r="O23" s="166"/>
      <c r="P23" s="166"/>
      <c r="Q23" s="2216" t="s">
        <v>836</v>
      </c>
      <c r="R23" s="2214"/>
      <c r="S23" s="2214"/>
      <c r="T23" s="2214"/>
      <c r="U23" s="2214"/>
      <c r="V23" s="2214"/>
      <c r="W23" s="2215"/>
      <c r="X23" s="166"/>
      <c r="Y23" s="166"/>
      <c r="Z23" s="166"/>
      <c r="AA23" s="166"/>
      <c r="AB23" s="166"/>
      <c r="AC23" s="166"/>
      <c r="AD23" s="166"/>
      <c r="AE23" s="166"/>
      <c r="AF23" s="166"/>
      <c r="AG23" s="166"/>
      <c r="AH23" s="166"/>
      <c r="AI23" s="166"/>
      <c r="AJ23" s="166"/>
      <c r="AK23" s="166"/>
      <c r="AL23" s="166"/>
      <c r="AM23" s="166"/>
      <c r="AN23" s="159"/>
      <c r="AO23" s="158">
        <f>'R-Resumo Bal. Massa'!G64</f>
        <v>398.75</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17">
        <f>F15+F19+F23-AO15-AO19-AO23-AS17-AS21-AS25-S25</f>
        <v>1890</v>
      </c>
      <c r="K25" s="2211"/>
      <c r="L25" s="2211"/>
      <c r="M25" s="2212"/>
      <c r="N25" s="166"/>
      <c r="O25" s="166"/>
      <c r="P25" s="166"/>
      <c r="Q25" s="166"/>
      <c r="R25" s="166"/>
      <c r="S25" s="2210">
        <f>IF('R-Definição'!I29&lt;&gt;"Aterro sanitário",'R-Resumo Bal. Massa'!F22,0)</f>
        <v>2184.5</v>
      </c>
      <c r="T25" s="2212"/>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526.75000000000023</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1890</v>
      </c>
      <c r="O27" s="166"/>
      <c r="P27" s="166"/>
      <c r="Q27" s="166"/>
      <c r="R27" s="166"/>
      <c r="S27" s="166"/>
      <c r="T27" s="166"/>
      <c r="U27" s="166"/>
      <c r="V27" s="2210">
        <f>'R-Resumo Bal. Massa'!B25</f>
        <v>1890</v>
      </c>
      <c r="W27" s="2212"/>
      <c r="X27" s="166"/>
      <c r="Y27" s="2239" t="s">
        <v>100</v>
      </c>
      <c r="Z27" s="2214"/>
      <c r="AA27" s="2214"/>
      <c r="AB27" s="2215"/>
      <c r="AC27" s="166"/>
      <c r="AD27" s="166"/>
      <c r="AE27" s="166"/>
      <c r="AF27" s="166"/>
      <c r="AG27" s="166"/>
      <c r="AH27" s="166"/>
      <c r="AI27" s="166"/>
      <c r="AJ27" s="166"/>
      <c r="AK27" s="166"/>
      <c r="AL27" s="166"/>
      <c r="AM27" s="166"/>
      <c r="AN27" s="159"/>
      <c r="AO27" s="158">
        <f>'R-Resumo Bal. Massa'!E29</f>
        <v>897.75</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10">
        <f>'R-Definição'!E59</f>
        <v>2184.5</v>
      </c>
      <c r="T29" s="2212"/>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47.25</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10">
        <f>SUM('R-Resumo Bal. Massa'!D40:D42)</f>
        <v>0</v>
      </c>
      <c r="K31" s="2211"/>
      <c r="L31" s="2211"/>
      <c r="M31" s="2212"/>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945</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10">
        <f>'R-Resumo Bal. Massa'!D36</f>
        <v>2184.5</v>
      </c>
      <c r="T33" s="2212"/>
      <c r="U33" s="166"/>
      <c r="V33" s="166"/>
      <c r="W33" s="166"/>
      <c r="X33" s="166"/>
      <c r="Y33" s="2210">
        <f>'R-Definição'!E60*'R-Definição'!J59/100</f>
        <v>2184.5</v>
      </c>
      <c r="Z33" s="2212"/>
      <c r="AA33" s="166"/>
      <c r="AB33" s="2242" t="s">
        <v>115</v>
      </c>
      <c r="AC33" s="2243"/>
      <c r="AD33" s="2243"/>
      <c r="AE33" s="2243"/>
      <c r="AF33" s="2244"/>
      <c r="AG33" s="166"/>
      <c r="AH33" s="166"/>
      <c r="AI33" s="166"/>
      <c r="AJ33" s="166"/>
      <c r="AK33" s="166"/>
      <c r="AL33" s="166"/>
      <c r="AM33" s="166"/>
      <c r="AN33" s="159"/>
      <c r="AO33" s="159"/>
      <c r="AP33" s="159"/>
      <c r="AQ33" s="158">
        <f>'R-Definição'!O62*'R-Definição'!F63</f>
        <v>327.67500000000001</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10">
        <f>'R-Definição'!J68</f>
        <v>1856.825</v>
      </c>
      <c r="AE35" s="2212"/>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10">
        <f>'R-Resumo Bal. Massa'!D35</f>
        <v>0</v>
      </c>
      <c r="T37" s="2212"/>
      <c r="U37" s="166"/>
      <c r="V37" s="166"/>
      <c r="W37" s="166"/>
      <c r="X37" s="166"/>
      <c r="Y37" s="166"/>
      <c r="Z37" s="166"/>
      <c r="AA37" s="166"/>
      <c r="AB37" s="166"/>
      <c r="AC37" s="166"/>
      <c r="AD37" s="2239" t="s">
        <v>132</v>
      </c>
      <c r="AE37" s="2214"/>
      <c r="AF37" s="2214"/>
      <c r="AG37" s="2215"/>
      <c r="AH37" s="166"/>
      <c r="AI37" s="166"/>
      <c r="AJ37" s="166"/>
      <c r="AK37" s="166"/>
      <c r="AL37" s="166"/>
      <c r="AM37" s="166"/>
      <c r="AN37" s="159"/>
      <c r="AO37" s="158">
        <f>'R-Resumo Bal. Massa'!F36-'R-Resumo Bal. Massa'!F33</f>
        <v>835.57124999999996</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557.04750000000001</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10">
        <f>'R-Resumo Bal. Massa'!D43</f>
        <v>0</v>
      </c>
      <c r="U41" s="2212"/>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464.20625000000001</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0</v>
      </c>
      <c r="G43" s="166"/>
      <c r="H43" s="166"/>
      <c r="I43" s="166"/>
      <c r="J43" s="2210">
        <f>SUM('R-Resumo Bal. Massa'!D39:D42)</f>
        <v>0</v>
      </c>
      <c r="K43" s="2211"/>
      <c r="L43" s="2211"/>
      <c r="M43" s="2212"/>
      <c r="N43" s="166"/>
      <c r="O43" s="166"/>
      <c r="P43" s="166"/>
      <c r="Q43" s="166"/>
      <c r="R43" s="166"/>
      <c r="S43" s="166"/>
      <c r="T43" s="2210">
        <f>'R-Resumo Bal. Massa'!D44</f>
        <v>0</v>
      </c>
      <c r="U43" s="2212"/>
      <c r="V43" s="166"/>
      <c r="W43" s="166"/>
      <c r="X43" s="166"/>
      <c r="Y43" s="166"/>
      <c r="Z43" s="166"/>
      <c r="AA43" s="166"/>
      <c r="AB43" s="166"/>
      <c r="AC43" s="166"/>
      <c r="AD43" s="166"/>
      <c r="AE43" s="166"/>
      <c r="AF43" s="166"/>
      <c r="AG43" s="733"/>
      <c r="AH43" s="2239" t="s">
        <v>205</v>
      </c>
      <c r="AI43" s="2240"/>
      <c r="AJ43" s="2240"/>
      <c r="AK43" s="2241"/>
      <c r="AL43" s="166"/>
      <c r="AM43" s="166"/>
      <c r="AN43" s="159"/>
      <c r="AO43" s="158">
        <f>'R-Resumo Bal. Massa'!E44</f>
        <v>0</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08">
        <f>'R-Definição'!E126</f>
        <v>1310.4693749999999</v>
      </c>
      <c r="J51" s="2209"/>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2132.07125</v>
      </c>
      <c r="AP51" s="162"/>
      <c r="AQ51" s="1025">
        <f>AQ29+AQ33+AQ39+AQ45</f>
        <v>931.97250000000008</v>
      </c>
      <c r="AR51" s="162"/>
      <c r="AS51" s="1025">
        <f>'R-Resumo Bal. Massa'!D53</f>
        <v>1935.9562500000002</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08" t="str">
        <f>IF('R-Definição'!O124&gt;0,'R-Definição'!O124,"Não")</f>
        <v>Não</v>
      </c>
      <c r="J53" s="2209"/>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42.6</v>
      </c>
      <c r="AP53" s="163"/>
      <c r="AQ53" s="1024">
        <f>IF(C11&lt;&gt;0,ROUND(100-AO53-AS53,1),0)</f>
        <v>18.7</v>
      </c>
      <c r="AR53" s="163"/>
      <c r="AS53" s="1024">
        <f>IF(C11&lt;&gt;0,ROUND(AS51/(AO51+AQ51+AS51)*100,1),0)</f>
        <v>38.700000000000003</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48"/>
      <c r="K4" s="2139"/>
      <c r="L4" s="3"/>
      <c r="M4" s="3"/>
      <c r="N4" s="3"/>
      <c r="O4" s="3"/>
      <c r="P4" s="3"/>
      <c r="Q4" s="3"/>
      <c r="R4" s="3"/>
      <c r="S4" s="3"/>
      <c r="T4" s="3"/>
    </row>
    <row r="5" spans="1:20" ht="25.9" customHeight="1" x14ac:dyDescent="0.25">
      <c r="A5" s="3"/>
      <c r="B5" s="100"/>
      <c r="C5" s="204" t="s">
        <v>543</v>
      </c>
      <c r="D5" s="100"/>
      <c r="E5" s="100"/>
      <c r="F5" s="100"/>
      <c r="G5" s="100"/>
      <c r="H5" s="100"/>
      <c r="I5" s="3"/>
      <c r="J5" s="2250" t="s">
        <v>473</v>
      </c>
      <c r="K5" s="2173"/>
      <c r="L5" s="2173"/>
      <c r="M5" s="3"/>
      <c r="N5" s="3"/>
      <c r="O5" s="3"/>
      <c r="P5" s="3"/>
      <c r="Q5" s="3"/>
      <c r="R5" s="3"/>
      <c r="S5" s="3"/>
      <c r="T5" s="3"/>
    </row>
    <row r="6" spans="1:20" ht="18" customHeight="1" x14ac:dyDescent="0.25">
      <c r="A6" s="3"/>
      <c r="B6" s="64"/>
      <c r="C6" s="64"/>
      <c r="D6" s="64"/>
      <c r="E6" s="64"/>
      <c r="F6" s="64"/>
      <c r="G6" s="64"/>
      <c r="H6" s="64"/>
      <c r="I6" s="3"/>
      <c r="J6" s="2130" t="str">
        <f>Apresentação!I2</f>
        <v>RC-RSU V.1.0 - 15/10/2020</v>
      </c>
      <c r="K6" s="2249"/>
      <c r="L6" s="2249"/>
      <c r="M6" s="3"/>
      <c r="N6" s="3"/>
      <c r="O6" s="3"/>
      <c r="P6" s="3"/>
      <c r="Q6" s="3"/>
      <c r="R6" s="3"/>
      <c r="S6" s="3"/>
      <c r="T6" s="3"/>
    </row>
    <row r="7" spans="1:20" ht="18" customHeight="1" x14ac:dyDescent="0.25">
      <c r="A7" s="3"/>
      <c r="B7" s="2131" t="s">
        <v>544</v>
      </c>
      <c r="C7" s="2169"/>
      <c r="D7" s="2169"/>
      <c r="E7" s="2169"/>
      <c r="F7" s="2169"/>
      <c r="G7" s="2169"/>
      <c r="H7" s="2169"/>
      <c r="I7" s="3"/>
      <c r="J7" s="734"/>
      <c r="K7" s="734"/>
      <c r="L7" s="734"/>
      <c r="M7" s="3"/>
      <c r="N7" s="3"/>
      <c r="O7" s="3"/>
      <c r="P7" s="3"/>
      <c r="Q7" s="3"/>
      <c r="R7" s="3"/>
      <c r="S7" s="3"/>
      <c r="T7" s="3"/>
    </row>
    <row r="8" spans="1:20" ht="18" customHeight="1" x14ac:dyDescent="0.25">
      <c r="A8" s="3"/>
      <c r="B8" s="2146" t="s">
        <v>210</v>
      </c>
      <c r="C8" s="2146" t="s">
        <v>211</v>
      </c>
      <c r="D8" s="2131" t="s">
        <v>212</v>
      </c>
      <c r="E8" s="2146" t="s">
        <v>213</v>
      </c>
      <c r="F8" s="2132"/>
      <c r="G8" s="2132"/>
      <c r="H8" s="2132"/>
      <c r="I8" s="3"/>
      <c r="J8" s="3"/>
      <c r="K8" s="3"/>
      <c r="L8" s="3"/>
      <c r="M8" s="3"/>
      <c r="N8" s="3"/>
      <c r="O8" s="3"/>
      <c r="P8" s="14"/>
      <c r="Q8" s="3"/>
      <c r="R8" s="3"/>
      <c r="S8" s="3"/>
      <c r="T8" s="3"/>
    </row>
    <row r="9" spans="1:20" ht="18" customHeight="1" x14ac:dyDescent="0.25">
      <c r="A9" s="7"/>
      <c r="B9" s="2132"/>
      <c r="C9" s="2132"/>
      <c r="D9" s="2132"/>
      <c r="E9" s="2146" t="s">
        <v>214</v>
      </c>
      <c r="F9" s="2263" t="s">
        <v>25</v>
      </c>
      <c r="G9" s="2131" t="s">
        <v>215</v>
      </c>
      <c r="H9" s="2146" t="s">
        <v>216</v>
      </c>
      <c r="I9" s="7"/>
      <c r="J9" s="7"/>
      <c r="K9" s="7"/>
      <c r="L9" s="7"/>
      <c r="M9" s="7"/>
      <c r="N9" s="7"/>
      <c r="O9" s="7"/>
      <c r="P9" s="3"/>
      <c r="Q9" s="3"/>
      <c r="R9" s="7"/>
      <c r="S9" s="3"/>
      <c r="T9" s="3"/>
    </row>
    <row r="10" spans="1:20" ht="18" customHeight="1" x14ac:dyDescent="0.25">
      <c r="A10" s="7"/>
      <c r="B10" s="2132"/>
      <c r="C10" s="2132"/>
      <c r="D10" s="2132"/>
      <c r="E10" s="2132"/>
      <c r="F10" s="2132"/>
      <c r="G10" s="2132"/>
      <c r="H10" s="2132"/>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5000</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5000</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5000</v>
      </c>
      <c r="C21" s="510" t="s">
        <v>751</v>
      </c>
      <c r="D21" s="223">
        <f>IF('R-Definição'!$I$24="Sim",'R-Definição'!$I$27,0)</f>
        <v>5000</v>
      </c>
      <c r="E21" s="223">
        <f>'R-Definição'!O30</f>
        <v>398.75</v>
      </c>
      <c r="F21" s="223">
        <f>'R-Definição'!L32</f>
        <v>2184.5</v>
      </c>
      <c r="G21" s="223">
        <f>SUM('R-Definição'!O34:'R-Definição'!O35)</f>
        <v>2416.75</v>
      </c>
      <c r="H21" s="21"/>
      <c r="I21" s="3"/>
      <c r="J21" s="3"/>
      <c r="K21" s="3"/>
      <c r="L21" s="3"/>
      <c r="M21" s="7"/>
      <c r="N21" s="7"/>
      <c r="O21" s="7"/>
      <c r="P21" s="7"/>
      <c r="Q21" s="7"/>
      <c r="R21" s="3"/>
      <c r="S21" s="3"/>
      <c r="T21" s="3"/>
    </row>
    <row r="22" spans="1:20" ht="18" customHeight="1" x14ac:dyDescent="0.25">
      <c r="A22" s="3"/>
      <c r="B22" s="745"/>
      <c r="C22" s="746" t="s">
        <v>218</v>
      </c>
      <c r="D22" s="740">
        <f>SUM(D19:D21)</f>
        <v>5000</v>
      </c>
      <c r="E22" s="224">
        <f>SUM(E19:E21)</f>
        <v>398.75</v>
      </c>
      <c r="F22" s="224">
        <f>SUM(F19:F21)</f>
        <v>2184.5</v>
      </c>
      <c r="G22" s="224">
        <f>SUM(G19:G21)</f>
        <v>2416.75</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51">
        <f>D29</f>
        <v>1890</v>
      </c>
      <c r="C25" s="233" t="s">
        <v>732</v>
      </c>
      <c r="D25" s="223">
        <f>'R-Definição'!E49</f>
        <v>0</v>
      </c>
      <c r="E25" s="2253">
        <f>'R-Definição'!O49+'R-Definição'!O50</f>
        <v>897.75</v>
      </c>
      <c r="F25" s="2255"/>
      <c r="G25" s="2253">
        <f>'R-Definição'!O53</f>
        <v>945</v>
      </c>
      <c r="H25" s="2253">
        <f>'R-Definição'!O55</f>
        <v>47.25</v>
      </c>
      <c r="I25" s="3"/>
      <c r="J25" s="3"/>
      <c r="K25" s="3"/>
      <c r="L25" s="3"/>
      <c r="M25" s="3"/>
      <c r="N25" s="3"/>
      <c r="O25" s="3"/>
      <c r="P25" s="3"/>
      <c r="Q25" s="3"/>
      <c r="R25" s="3"/>
      <c r="S25" s="3"/>
      <c r="T25" s="3"/>
    </row>
    <row r="26" spans="1:20" ht="18" customHeight="1" x14ac:dyDescent="0.25">
      <c r="A26" s="3"/>
      <c r="B26" s="2252"/>
      <c r="C26" s="233" t="s">
        <v>733</v>
      </c>
      <c r="D26" s="223">
        <f>'R-Definição'!E50</f>
        <v>0</v>
      </c>
      <c r="E26" s="2254"/>
      <c r="F26" s="2254"/>
      <c r="G26" s="2254"/>
      <c r="H26" s="2254"/>
      <c r="I26" s="3"/>
      <c r="J26" s="3"/>
      <c r="K26" s="3"/>
      <c r="L26" s="3"/>
      <c r="M26" s="3"/>
      <c r="N26" s="3"/>
      <c r="O26" s="3"/>
      <c r="P26" s="3"/>
      <c r="Q26" s="3"/>
      <c r="R26" s="3"/>
      <c r="S26" s="3"/>
      <c r="T26" s="3"/>
    </row>
    <row r="27" spans="1:20" ht="18" customHeight="1" x14ac:dyDescent="0.25">
      <c r="A27" s="3"/>
      <c r="B27" s="2252"/>
      <c r="C27" s="233" t="s">
        <v>545</v>
      </c>
      <c r="D27" s="223">
        <f>'R-Definição'!E51</f>
        <v>1890</v>
      </c>
      <c r="E27" s="2254"/>
      <c r="F27" s="2254"/>
      <c r="G27" s="2254"/>
      <c r="H27" s="2254"/>
      <c r="I27" s="3"/>
      <c r="J27" s="3"/>
      <c r="K27" s="3"/>
      <c r="L27" s="3"/>
      <c r="M27" s="3"/>
      <c r="N27" s="3"/>
      <c r="O27" s="3"/>
      <c r="P27" s="3"/>
      <c r="Q27" s="3"/>
      <c r="R27" s="3"/>
      <c r="S27" s="3"/>
      <c r="T27" s="3"/>
    </row>
    <row r="28" spans="1:20" ht="18" customHeight="1" x14ac:dyDescent="0.25">
      <c r="A28" s="3"/>
      <c r="B28" s="2252"/>
      <c r="C28" s="233" t="s">
        <v>546</v>
      </c>
      <c r="D28" s="223">
        <f>'R-Definição'!E52</f>
        <v>0</v>
      </c>
      <c r="E28" s="2254"/>
      <c r="F28" s="2254"/>
      <c r="G28" s="2254"/>
      <c r="H28" s="2254"/>
      <c r="I28" s="3"/>
      <c r="J28" s="3"/>
      <c r="K28" s="3"/>
      <c r="L28" s="3"/>
      <c r="M28" s="3"/>
      <c r="N28" s="3"/>
      <c r="O28" s="3"/>
      <c r="P28" s="3"/>
      <c r="Q28" s="3"/>
      <c r="R28" s="3"/>
      <c r="S28" s="3"/>
      <c r="T28" s="3"/>
    </row>
    <row r="29" spans="1:20" ht="18" customHeight="1" x14ac:dyDescent="0.25">
      <c r="A29" s="3"/>
      <c r="B29" s="222"/>
      <c r="C29" s="746" t="s">
        <v>218</v>
      </c>
      <c r="D29" s="740">
        <f>SUM(D25:D28)</f>
        <v>1890</v>
      </c>
      <c r="E29" s="224">
        <f>E25</f>
        <v>897.75</v>
      </c>
      <c r="F29" s="224"/>
      <c r="G29" s="224">
        <f>SUM(G25)</f>
        <v>945</v>
      </c>
      <c r="H29" s="224">
        <f>SUM(H25:H28)</f>
        <v>47.25</v>
      </c>
      <c r="I29" s="3"/>
      <c r="J29" s="3"/>
      <c r="K29" s="3"/>
      <c r="L29" s="3"/>
      <c r="M29" s="3"/>
      <c r="N29" s="3"/>
      <c r="O29" s="3"/>
      <c r="P29" s="3"/>
      <c r="Q29" s="3"/>
      <c r="R29" s="3"/>
      <c r="S29" s="3"/>
      <c r="T29" s="3"/>
    </row>
    <row r="30" spans="1:20" ht="18" customHeight="1" x14ac:dyDescent="0.25">
      <c r="A30" s="3"/>
      <c r="B30" s="741">
        <f>'R-Definição'!I51</f>
        <v>1890</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2184.5</v>
      </c>
      <c r="C34" s="507" t="s">
        <v>221</v>
      </c>
      <c r="D34" s="976">
        <f>IF('R-Definição'!$J$67&lt;&gt;"Uso agrícola dir.",'R-Definição'!$O$62,0)</f>
        <v>2184.5</v>
      </c>
      <c r="E34" s="978"/>
      <c r="F34" s="2264">
        <f>'R-Definição'!O67+'R-Definição'!O68</f>
        <v>835.57124999999996</v>
      </c>
      <c r="G34" s="2253">
        <f>'R-Definição'!O73</f>
        <v>464.20625000000001</v>
      </c>
      <c r="H34" s="2253">
        <f>'R-Definição'!O74</f>
        <v>884.72250000000008</v>
      </c>
      <c r="I34" s="3"/>
      <c r="J34" s="3"/>
      <c r="K34" s="3"/>
      <c r="L34" s="3"/>
      <c r="M34" s="3"/>
      <c r="N34" s="3"/>
      <c r="O34" s="3"/>
      <c r="P34" s="3"/>
      <c r="Q34" s="3"/>
      <c r="R34" s="3"/>
      <c r="S34" s="3"/>
      <c r="T34" s="3"/>
    </row>
    <row r="35" spans="1:20" ht="18" customHeight="1" x14ac:dyDescent="0.25">
      <c r="A35" s="3"/>
      <c r="B35" s="741">
        <f>'R-Definição'!O63+'R-Definição'!O64</f>
        <v>1856.825</v>
      </c>
      <c r="C35" s="507" t="s">
        <v>132</v>
      </c>
      <c r="D35" s="223">
        <f>'R-Definição'!E60-'R-Definição'!O62</f>
        <v>0</v>
      </c>
      <c r="E35" s="975"/>
      <c r="F35" s="2257"/>
      <c r="G35" s="2257"/>
      <c r="H35" s="2257"/>
      <c r="I35" s="3"/>
      <c r="J35" s="3"/>
      <c r="K35" s="3"/>
      <c r="L35" s="3"/>
      <c r="M35" s="3"/>
      <c r="N35" s="3"/>
      <c r="O35" s="3"/>
      <c r="P35" s="3"/>
      <c r="Q35" s="3"/>
      <c r="R35" s="3"/>
      <c r="S35" s="3"/>
      <c r="T35" s="3"/>
    </row>
    <row r="36" spans="1:20" ht="18" customHeight="1" x14ac:dyDescent="0.25">
      <c r="A36" s="3"/>
      <c r="B36" s="211"/>
      <c r="C36" s="747" t="s">
        <v>218</v>
      </c>
      <c r="D36" s="241">
        <f>SUM(D33:D35)</f>
        <v>2184.5</v>
      </c>
      <c r="E36" s="236"/>
      <c r="F36" s="749">
        <f>F34</f>
        <v>835.57124999999996</v>
      </c>
      <c r="G36" s="749">
        <f>G34</f>
        <v>464.20625000000001</v>
      </c>
      <c r="H36" s="749">
        <f>H34</f>
        <v>884.72250000000008</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51">
        <f>'R-Definição'!E112</f>
        <v>0</v>
      </c>
      <c r="C39" s="507" t="s">
        <v>222</v>
      </c>
      <c r="D39" s="223">
        <f>'R-Definição'!E107</f>
        <v>0</v>
      </c>
      <c r="E39" s="2256">
        <f>'R-Definição'!O107+'R-Definição'!O108+'R-Definição'!O109</f>
        <v>0</v>
      </c>
      <c r="F39" s="2255"/>
      <c r="G39" s="2256">
        <f>'R-Definição'!O110</f>
        <v>0</v>
      </c>
      <c r="H39" s="2256">
        <f>'R-Definição'!O113</f>
        <v>0</v>
      </c>
      <c r="I39" s="3"/>
      <c r="J39" s="3"/>
      <c r="K39" s="3"/>
      <c r="L39" s="3"/>
      <c r="M39" s="3"/>
      <c r="N39" s="3"/>
      <c r="O39" s="3"/>
      <c r="P39" s="3"/>
      <c r="Q39" s="3"/>
      <c r="R39" s="3"/>
      <c r="S39" s="3"/>
      <c r="T39" s="3"/>
    </row>
    <row r="40" spans="1:20" ht="18" customHeight="1" x14ac:dyDescent="0.25">
      <c r="A40" s="3"/>
      <c r="B40" s="2180"/>
      <c r="C40" s="507" t="s">
        <v>752</v>
      </c>
      <c r="D40" s="223">
        <f>'R-Definição'!E108</f>
        <v>0</v>
      </c>
      <c r="E40" s="2257"/>
      <c r="F40" s="2257"/>
      <c r="G40" s="2257"/>
      <c r="H40" s="2257"/>
      <c r="I40" s="3"/>
      <c r="J40" s="3"/>
      <c r="K40" s="3"/>
      <c r="L40" s="3"/>
      <c r="M40" s="3"/>
      <c r="N40" s="3"/>
      <c r="O40" s="3"/>
      <c r="P40" s="3"/>
      <c r="Q40" s="3"/>
      <c r="R40" s="3"/>
      <c r="S40" s="3"/>
      <c r="T40" s="3"/>
    </row>
    <row r="41" spans="1:20" ht="18" customHeight="1" x14ac:dyDescent="0.25">
      <c r="A41" s="3"/>
      <c r="B41" s="2180"/>
      <c r="C41" s="507" t="s">
        <v>734</v>
      </c>
      <c r="D41" s="223">
        <f>'R-Definição'!E109</f>
        <v>0</v>
      </c>
      <c r="E41" s="2257"/>
      <c r="F41" s="2257"/>
      <c r="G41" s="2257"/>
      <c r="H41" s="2257"/>
      <c r="I41" s="3"/>
      <c r="J41" s="3"/>
      <c r="K41" s="3"/>
      <c r="L41" s="3"/>
      <c r="M41" s="3"/>
      <c r="N41" s="3"/>
      <c r="O41" s="3"/>
      <c r="P41" s="3"/>
      <c r="Q41" s="3"/>
      <c r="R41" s="3"/>
      <c r="S41" s="3"/>
      <c r="T41" s="3"/>
    </row>
    <row r="42" spans="1:20" ht="18" customHeight="1" x14ac:dyDescent="0.25">
      <c r="A42" s="3"/>
      <c r="B42" s="2180"/>
      <c r="C42" s="237" t="s">
        <v>819</v>
      </c>
      <c r="D42" s="223">
        <f>'R-Definição'!E110</f>
        <v>0</v>
      </c>
      <c r="E42" s="2257"/>
      <c r="F42" s="2257"/>
      <c r="G42" s="2257"/>
      <c r="H42" s="2257"/>
      <c r="I42" s="3"/>
      <c r="J42" s="3"/>
      <c r="K42" s="3"/>
      <c r="L42" s="3"/>
      <c r="M42" s="3"/>
      <c r="N42" s="3"/>
      <c r="O42" s="3"/>
      <c r="P42" s="3"/>
      <c r="Q42" s="3"/>
      <c r="R42" s="3"/>
      <c r="S42" s="3"/>
      <c r="T42" s="3"/>
    </row>
    <row r="43" spans="1:20" ht="18" customHeight="1" x14ac:dyDescent="0.25">
      <c r="A43" s="3"/>
      <c r="C43" s="1708" t="s">
        <v>990</v>
      </c>
      <c r="D43" s="1707">
        <f>'R-Definição'!E111</f>
        <v>0</v>
      </c>
      <c r="I43" s="3"/>
      <c r="J43" s="3"/>
      <c r="K43" s="3"/>
      <c r="L43" s="3"/>
      <c r="M43" s="3"/>
      <c r="N43" s="3"/>
      <c r="O43" s="3"/>
      <c r="P43" s="3"/>
      <c r="Q43" s="3"/>
      <c r="R43" s="3"/>
      <c r="S43" s="3"/>
      <c r="T43" s="3"/>
    </row>
    <row r="44" spans="1:20" ht="18" customHeight="1" x14ac:dyDescent="0.25">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45">
        <f>'R-Definição'!E119</f>
        <v>1935.9562500000002</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46"/>
      <c r="C48" s="1706" t="s">
        <v>547</v>
      </c>
      <c r="D48" s="1707">
        <f>'R-Definição'!N96</f>
        <v>526.75000000000023</v>
      </c>
      <c r="E48" s="6"/>
      <c r="F48" s="739"/>
      <c r="G48" s="221" t="s">
        <v>225</v>
      </c>
      <c r="H48" s="221" t="s">
        <v>22</v>
      </c>
      <c r="I48" s="3"/>
      <c r="J48" s="3"/>
      <c r="K48" s="3"/>
      <c r="L48" s="3"/>
      <c r="M48" s="3"/>
      <c r="N48" s="3"/>
      <c r="O48" s="3"/>
      <c r="P48" s="3"/>
      <c r="Q48" s="3"/>
      <c r="R48" s="3"/>
      <c r="S48" s="3"/>
      <c r="T48" s="3"/>
    </row>
    <row r="49" spans="1:20" ht="18" customHeight="1" x14ac:dyDescent="0.25">
      <c r="A49" s="3"/>
      <c r="B49" s="2246"/>
      <c r="C49" s="1706" t="s">
        <v>548</v>
      </c>
      <c r="D49" s="1707">
        <f>'R-Definição'!N98+'R-Definição'!N99+'R-Definição'!N97</f>
        <v>0</v>
      </c>
      <c r="E49" s="5"/>
      <c r="F49" s="233" t="s">
        <v>226</v>
      </c>
      <c r="G49" s="223">
        <f>D53</f>
        <v>1935.9562500000002</v>
      </c>
      <c r="H49" s="878">
        <f>IF($G$52&lt;&gt;0,G49/$G$52*100,0)</f>
        <v>38.719125000000005</v>
      </c>
      <c r="I49" s="20"/>
      <c r="J49" s="3"/>
      <c r="K49" s="3"/>
      <c r="L49" s="3"/>
      <c r="M49" s="3"/>
      <c r="N49" s="3"/>
      <c r="O49" s="3"/>
      <c r="P49" s="3"/>
      <c r="Q49" s="3"/>
      <c r="R49" s="3"/>
      <c r="S49" s="3"/>
      <c r="T49" s="3"/>
    </row>
    <row r="50" spans="1:20" ht="18" customHeight="1" x14ac:dyDescent="0.25">
      <c r="A50" s="3"/>
      <c r="B50" s="2246"/>
      <c r="C50" s="1706" t="s">
        <v>549</v>
      </c>
      <c r="D50" s="1707">
        <f>'R-Definição'!O53</f>
        <v>945</v>
      </c>
      <c r="E50" s="5"/>
      <c r="F50" s="233" t="s">
        <v>552</v>
      </c>
      <c r="G50" s="878">
        <f>E44+F36+E29+E22</f>
        <v>2132.07125</v>
      </c>
      <c r="H50" s="878">
        <f>IF($G$52&lt;&gt;0,G50/$G$52*100,0)</f>
        <v>42.641424999999998</v>
      </c>
      <c r="I50" s="22"/>
      <c r="J50" s="3"/>
      <c r="K50" s="3"/>
      <c r="L50" s="3"/>
      <c r="M50" s="3"/>
      <c r="N50" s="3"/>
      <c r="O50" s="3"/>
      <c r="P50" s="3"/>
      <c r="Q50" s="3"/>
      <c r="R50" s="3"/>
      <c r="S50" s="3"/>
      <c r="T50" s="3"/>
    </row>
    <row r="51" spans="1:20" ht="18" customHeight="1" x14ac:dyDescent="0.25">
      <c r="A51" s="3"/>
      <c r="B51" s="2246"/>
      <c r="C51" s="1706" t="s">
        <v>550</v>
      </c>
      <c r="D51" s="1707">
        <f>'R-Definição'!O73</f>
        <v>464.20625000000001</v>
      </c>
      <c r="E51" s="3"/>
      <c r="F51" s="233" t="s">
        <v>227</v>
      </c>
      <c r="G51" s="878">
        <f>H29+H36+H44</f>
        <v>931.97250000000008</v>
      </c>
      <c r="H51" s="878">
        <f>IF($G$52&lt;&gt;0,G51/$G$52*100,0)</f>
        <v>18.639450000000004</v>
      </c>
      <c r="I51" s="3"/>
      <c r="J51" s="3"/>
      <c r="K51" s="3"/>
      <c r="L51" s="3"/>
      <c r="M51" s="3"/>
      <c r="N51" s="3"/>
      <c r="O51" s="3"/>
      <c r="P51" s="3"/>
      <c r="Q51" s="3"/>
      <c r="R51" s="3"/>
      <c r="S51" s="3"/>
      <c r="T51" s="3"/>
    </row>
    <row r="52" spans="1:20" ht="18" customHeight="1" x14ac:dyDescent="0.25">
      <c r="A52" s="3"/>
      <c r="B52" s="2247"/>
      <c r="C52" s="1706" t="s">
        <v>551</v>
      </c>
      <c r="D52" s="1707">
        <f>'R-Definição'!O110</f>
        <v>0</v>
      </c>
      <c r="E52" s="3"/>
      <c r="F52" s="752" t="s">
        <v>53</v>
      </c>
      <c r="G52" s="224">
        <f>SUM(G49:G51)</f>
        <v>5000</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1935.9562500000002</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31" t="s">
        <v>151</v>
      </c>
      <c r="C55" s="2169"/>
      <c r="D55" s="2131" t="s">
        <v>229</v>
      </c>
      <c r="E55" s="2191"/>
      <c r="F55" s="2191"/>
      <c r="G55" s="2191"/>
      <c r="H55" s="2191"/>
      <c r="I55" s="2191"/>
      <c r="J55" s="2191"/>
      <c r="K55" s="2191"/>
      <c r="L55" s="3"/>
      <c r="M55" s="3"/>
      <c r="N55" s="3"/>
      <c r="O55" s="3"/>
      <c r="P55" s="3"/>
      <c r="Q55" s="3"/>
      <c r="R55" s="3"/>
      <c r="S55" s="3"/>
      <c r="T55" s="3"/>
    </row>
    <row r="56" spans="1:20" ht="18" customHeight="1" x14ac:dyDescent="0.25">
      <c r="A56" s="3"/>
      <c r="B56" s="2169"/>
      <c r="C56" s="2169"/>
      <c r="D56" s="2260" t="s">
        <v>53</v>
      </c>
      <c r="E56" s="2260" t="s">
        <v>185</v>
      </c>
      <c r="F56" s="2261"/>
      <c r="G56" s="2261"/>
      <c r="H56" s="2262" t="s">
        <v>62</v>
      </c>
      <c r="I56" s="2262" t="s">
        <v>188</v>
      </c>
      <c r="J56" s="2262" t="s">
        <v>64</v>
      </c>
      <c r="K56" s="2262" t="s">
        <v>65</v>
      </c>
      <c r="L56" s="3"/>
      <c r="M56" s="3"/>
      <c r="N56" s="3"/>
      <c r="O56" s="3"/>
      <c r="P56" s="3"/>
      <c r="Q56" s="3"/>
      <c r="R56" s="3"/>
      <c r="S56" s="3"/>
      <c r="T56" s="3"/>
    </row>
    <row r="57" spans="1:20" ht="18" customHeight="1" x14ac:dyDescent="0.25">
      <c r="A57" s="3"/>
      <c r="B57" s="2259" t="s">
        <v>28</v>
      </c>
      <c r="C57" s="515" t="s">
        <v>21</v>
      </c>
      <c r="D57" s="2261"/>
      <c r="E57" s="515" t="s">
        <v>80</v>
      </c>
      <c r="F57" s="515" t="s">
        <v>87</v>
      </c>
      <c r="G57" s="515" t="s">
        <v>73</v>
      </c>
      <c r="H57" s="2261"/>
      <c r="I57" s="2261"/>
      <c r="J57" s="2261"/>
      <c r="K57" s="2261"/>
      <c r="L57" s="3"/>
      <c r="M57" s="3"/>
      <c r="N57" s="3"/>
      <c r="O57" s="3"/>
      <c r="P57" s="3"/>
      <c r="Q57" s="3"/>
      <c r="R57" s="3"/>
      <c r="S57" s="3"/>
      <c r="T57" s="3"/>
    </row>
    <row r="58" spans="1:20" ht="18" customHeight="1" x14ac:dyDescent="0.25">
      <c r="A58" s="3"/>
      <c r="B58" s="2259"/>
      <c r="C58" s="233" t="s">
        <v>74</v>
      </c>
      <c r="D58" s="223">
        <f t="shared" ref="D58:D64" si="0">SUM(E58:K58)</f>
        <v>163.75</v>
      </c>
      <c r="E58" s="223">
        <f>'R-Definição'!M24</f>
        <v>0</v>
      </c>
      <c r="F58" s="223">
        <f>'R-Definição'!N24</f>
        <v>0</v>
      </c>
      <c r="G58" s="223">
        <f>'R-Definição'!O24</f>
        <v>163.75</v>
      </c>
      <c r="H58" s="878"/>
      <c r="I58" s="877"/>
      <c r="J58" s="877"/>
      <c r="K58" s="877"/>
      <c r="L58" s="3"/>
      <c r="M58" s="3"/>
      <c r="N58" s="3"/>
      <c r="O58" s="3"/>
      <c r="P58" s="3"/>
      <c r="Q58" s="3"/>
      <c r="R58" s="3"/>
      <c r="S58" s="3"/>
      <c r="T58" s="3"/>
    </row>
    <row r="59" spans="1:20" ht="18" customHeight="1" x14ac:dyDescent="0.25">
      <c r="A59" s="3"/>
      <c r="B59" s="2259"/>
      <c r="C59" s="233" t="s">
        <v>29</v>
      </c>
      <c r="D59" s="223">
        <f t="shared" si="0"/>
        <v>111.25</v>
      </c>
      <c r="E59" s="223">
        <f>'R-Definição'!M25</f>
        <v>0</v>
      </c>
      <c r="F59" s="223">
        <f>'R-Definição'!N25</f>
        <v>0</v>
      </c>
      <c r="G59" s="223">
        <f>'R-Definição'!O25</f>
        <v>111.25</v>
      </c>
      <c r="H59" s="879"/>
      <c r="I59" s="880"/>
      <c r="J59" s="880"/>
      <c r="K59" s="880"/>
      <c r="L59" s="3"/>
      <c r="M59" s="3"/>
      <c r="N59" s="3"/>
      <c r="O59" s="3"/>
      <c r="P59" s="3"/>
      <c r="Q59" s="3"/>
      <c r="R59" s="3"/>
      <c r="S59" s="3"/>
      <c r="T59" s="3"/>
    </row>
    <row r="60" spans="1:20" ht="18" customHeight="1" x14ac:dyDescent="0.25">
      <c r="A60" s="3"/>
      <c r="B60" s="2259"/>
      <c r="C60" s="233" t="s">
        <v>78</v>
      </c>
      <c r="D60" s="223">
        <f t="shared" si="0"/>
        <v>57.5</v>
      </c>
      <c r="E60" s="223">
        <f>'R-Definição'!M26</f>
        <v>0</v>
      </c>
      <c r="F60" s="223">
        <f>'R-Definição'!N26</f>
        <v>0</v>
      </c>
      <c r="G60" s="223">
        <f>'R-Definição'!O26</f>
        <v>57.5</v>
      </c>
      <c r="H60" s="878"/>
      <c r="I60" s="877"/>
      <c r="J60" s="877"/>
      <c r="K60" s="877"/>
      <c r="L60" s="3"/>
      <c r="M60" s="3"/>
      <c r="N60" s="3"/>
      <c r="O60" s="3"/>
      <c r="P60" s="3"/>
      <c r="Q60" s="3"/>
      <c r="R60" s="3"/>
      <c r="S60" s="3"/>
      <c r="T60" s="3"/>
    </row>
    <row r="61" spans="1:20" ht="18" customHeight="1" x14ac:dyDescent="0.25">
      <c r="A61" s="3"/>
      <c r="B61" s="2259"/>
      <c r="C61" s="233" t="s">
        <v>31</v>
      </c>
      <c r="D61" s="223">
        <f t="shared" si="0"/>
        <v>30</v>
      </c>
      <c r="E61" s="223">
        <f>'R-Definição'!M27</f>
        <v>0</v>
      </c>
      <c r="F61" s="223">
        <f>'R-Definição'!N27</f>
        <v>0</v>
      </c>
      <c r="G61" s="223">
        <f>'R-Definição'!O27</f>
        <v>30</v>
      </c>
      <c r="H61" s="878"/>
      <c r="I61" s="877"/>
      <c r="J61" s="877"/>
      <c r="K61" s="877"/>
      <c r="L61" s="3"/>
      <c r="M61" s="3"/>
      <c r="N61" s="3"/>
      <c r="O61" s="3"/>
      <c r="P61" s="3"/>
      <c r="Q61" s="3"/>
      <c r="R61" s="3"/>
      <c r="S61" s="3"/>
      <c r="T61" s="3"/>
    </row>
    <row r="62" spans="1:20" ht="18" customHeight="1" x14ac:dyDescent="0.25">
      <c r="A62" s="3"/>
      <c r="B62" s="2259"/>
      <c r="C62" s="233" t="s">
        <v>32</v>
      </c>
      <c r="D62" s="223">
        <f t="shared" si="0"/>
        <v>28.75</v>
      </c>
      <c r="E62" s="223">
        <f>'R-Definição'!M28</f>
        <v>0</v>
      </c>
      <c r="F62" s="223">
        <f>'R-Definição'!N28</f>
        <v>0</v>
      </c>
      <c r="G62" s="223">
        <f>'R-Definição'!O28</f>
        <v>28.75</v>
      </c>
      <c r="H62" s="878"/>
      <c r="I62" s="877"/>
      <c r="J62" s="878">
        <f>'R-Definição'!O107</f>
        <v>0</v>
      </c>
      <c r="K62" s="877"/>
      <c r="L62" s="3"/>
      <c r="M62" s="3"/>
      <c r="N62" s="3"/>
      <c r="O62" s="3"/>
      <c r="P62" s="3"/>
      <c r="Q62" s="3"/>
      <c r="R62" s="3"/>
      <c r="S62" s="3"/>
      <c r="T62" s="3"/>
    </row>
    <row r="63" spans="1:20" ht="18" customHeight="1" x14ac:dyDescent="0.25">
      <c r="A63" s="3"/>
      <c r="B63" s="2259"/>
      <c r="C63" s="233" t="s">
        <v>84</v>
      </c>
      <c r="D63" s="223">
        <f t="shared" si="0"/>
        <v>7.5</v>
      </c>
      <c r="E63" s="223">
        <f>'R-Definição'!M29</f>
        <v>0</v>
      </c>
      <c r="F63" s="223">
        <f>'R-Definição'!N29</f>
        <v>0</v>
      </c>
      <c r="G63" s="223">
        <f>'R-Definição'!O29</f>
        <v>7.5</v>
      </c>
      <c r="H63" s="878"/>
      <c r="I63" s="877"/>
      <c r="J63" s="878">
        <f>'R-Definição'!O108</f>
        <v>0</v>
      </c>
      <c r="K63" s="877"/>
      <c r="L63" s="3"/>
      <c r="M63" s="3"/>
      <c r="N63" s="3"/>
      <c r="O63" s="3"/>
      <c r="P63" s="3"/>
      <c r="Q63" s="3"/>
      <c r="R63" s="3"/>
      <c r="S63" s="3"/>
      <c r="T63" s="3"/>
    </row>
    <row r="64" spans="1:20" ht="18" customHeight="1" x14ac:dyDescent="0.25">
      <c r="A64" s="3"/>
      <c r="B64" s="2259"/>
      <c r="C64" s="753" t="s">
        <v>513</v>
      </c>
      <c r="D64" s="241">
        <f t="shared" si="0"/>
        <v>398.75</v>
      </c>
      <c r="E64" s="242">
        <f>SUM(E58:E63)</f>
        <v>0</v>
      </c>
      <c r="F64" s="242">
        <f>SUM(F58:F63)</f>
        <v>0</v>
      </c>
      <c r="G64" s="242">
        <f>SUM(G58:G63)</f>
        <v>398.75</v>
      </c>
      <c r="H64" s="235"/>
      <c r="I64" s="517"/>
      <c r="J64" s="243">
        <f>SUM(J58:J63)</f>
        <v>0</v>
      </c>
      <c r="K64" s="517"/>
      <c r="L64" s="3"/>
      <c r="M64" s="3"/>
      <c r="N64" s="3"/>
      <c r="O64" s="3"/>
      <c r="P64" s="3"/>
      <c r="Q64" s="3"/>
      <c r="R64" s="3"/>
      <c r="S64" s="3"/>
      <c r="T64" s="3"/>
    </row>
    <row r="65" spans="1:20" ht="18" customHeight="1" x14ac:dyDescent="0.25">
      <c r="A65" s="3"/>
      <c r="B65" s="2259"/>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8"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25">
      <c r="A67" s="3"/>
      <c r="B67" s="2259"/>
      <c r="C67" s="233" t="s">
        <v>233</v>
      </c>
      <c r="D67" s="223">
        <f>SUM(E67:K67)</f>
        <v>835.57124999999996</v>
      </c>
      <c r="E67" s="877"/>
      <c r="F67" s="877"/>
      <c r="G67" s="877"/>
      <c r="H67" s="878"/>
      <c r="I67" s="878">
        <f>IF('R-Definição'!I72&lt;&gt;"Cobertura de aterro sanitário",'R-Definição'!O68,0)</f>
        <v>835.57124999999996</v>
      </c>
      <c r="J67" s="877"/>
      <c r="K67" s="877"/>
      <c r="L67" s="3"/>
      <c r="M67" s="3"/>
      <c r="N67" s="3"/>
      <c r="O67" s="3"/>
      <c r="P67" s="3"/>
      <c r="Q67" s="3"/>
      <c r="R67" s="3"/>
      <c r="S67" s="3"/>
      <c r="T67" s="3"/>
    </row>
    <row r="68" spans="1:20" ht="18" customHeight="1" x14ac:dyDescent="0.25">
      <c r="A68" s="3"/>
      <c r="B68" s="2259"/>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9"/>
      <c r="C69" s="753" t="s">
        <v>554</v>
      </c>
      <c r="D69" s="241">
        <f>SUM(D66:D67)</f>
        <v>835.57124999999996</v>
      </c>
      <c r="E69" s="515"/>
      <c r="F69" s="515"/>
      <c r="G69" s="515"/>
      <c r="H69" s="235"/>
      <c r="I69" s="235">
        <f>SUM(I66:I68)</f>
        <v>835.57124999999996</v>
      </c>
      <c r="J69" s="517"/>
      <c r="K69" s="517"/>
      <c r="L69" s="3"/>
      <c r="M69" s="3"/>
      <c r="N69" s="3"/>
      <c r="O69" s="3"/>
      <c r="P69" s="3"/>
      <c r="Q69" s="3"/>
      <c r="R69" s="3"/>
      <c r="S69" s="3"/>
      <c r="T69" s="3"/>
    </row>
    <row r="70" spans="1:20" ht="18" customHeight="1" x14ac:dyDescent="0.25">
      <c r="A70" s="3"/>
      <c r="B70" s="2259"/>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9"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9"/>
      <c r="C72" s="233" t="s">
        <v>235</v>
      </c>
      <c r="D72" s="223">
        <f>SUM(E72:K72)</f>
        <v>897.75</v>
      </c>
      <c r="E72" s="877"/>
      <c r="F72" s="877"/>
      <c r="G72" s="877"/>
      <c r="H72" s="878">
        <f>'R-Definição'!O50</f>
        <v>897.75</v>
      </c>
      <c r="I72" s="877"/>
      <c r="J72" s="877"/>
      <c r="K72" s="877"/>
      <c r="L72" s="3"/>
      <c r="M72" s="3"/>
      <c r="N72" s="3"/>
      <c r="O72" s="3"/>
      <c r="P72" s="3"/>
      <c r="Q72" s="3"/>
      <c r="R72" s="3"/>
      <c r="S72" s="3"/>
      <c r="T72" s="3"/>
    </row>
    <row r="73" spans="1:20" ht="18" customHeight="1" x14ac:dyDescent="0.25">
      <c r="A73" s="3"/>
      <c r="B73" s="2259"/>
      <c r="C73" s="515" t="s">
        <v>555</v>
      </c>
      <c r="D73" s="241">
        <f>SUM(D71:D72)</f>
        <v>897.75</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274045.52500000002</v>
      </c>
      <c r="E74" s="873"/>
      <c r="F74" s="873"/>
      <c r="G74" s="873"/>
      <c r="H74" s="874"/>
      <c r="I74" s="873">
        <f>'R-Definição'!O69</f>
        <v>274045.52500000002</v>
      </c>
      <c r="J74" s="873">
        <f>'R-Definição'!O111</f>
        <v>0</v>
      </c>
      <c r="K74" s="873">
        <f>'R-Definição'!J127</f>
        <v>0</v>
      </c>
      <c r="L74" s="3"/>
      <c r="M74" s="3"/>
      <c r="N74" s="3"/>
      <c r="O74" s="3"/>
      <c r="P74" s="3"/>
      <c r="Q74" s="3"/>
      <c r="R74" s="3"/>
      <c r="S74" s="3"/>
      <c r="T74" s="3"/>
    </row>
    <row r="75" spans="1:20" ht="18" customHeight="1" x14ac:dyDescent="0.25">
      <c r="A75" s="3"/>
      <c r="B75" s="233" t="s">
        <v>238</v>
      </c>
      <c r="C75" s="233" t="s">
        <v>753</v>
      </c>
      <c r="D75" s="873">
        <f>SUM(E75:K75)</f>
        <v>68511.381250000006</v>
      </c>
      <c r="E75" s="873"/>
      <c r="F75" s="873"/>
      <c r="G75" s="873"/>
      <c r="H75" s="874"/>
      <c r="I75" s="873">
        <f>'R-Definição'!O70</f>
        <v>68511.381250000006</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6" t="str">
        <f>IF('R-Entrada'!D2&lt;&gt;0,'R-Entrada'!D2,"")</f>
        <v>CIRSOP - Consórcio RSU Oeste Paulista</v>
      </c>
      <c r="E2" s="2176"/>
      <c r="F2" s="2176"/>
      <c r="G2" s="2176"/>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6" t="str">
        <f>IF('R-Entrada'!D3&lt;&gt;0,'R-Entrada'!D3,"")</f>
        <v>Biodigestão c/ Prod. E. Elétrica</v>
      </c>
      <c r="E3" s="2148"/>
      <c r="F3" s="2148"/>
      <c r="G3" s="2148"/>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7" t="s">
        <v>473</v>
      </c>
      <c r="R5" s="2178"/>
      <c r="S5" s="2178"/>
      <c r="T5" s="2178"/>
      <c r="U5" s="2178"/>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30" t="str">
        <f>Apresentação!I2</f>
        <v>RC-RSU V.1.0 - 15/10/2020</v>
      </c>
      <c r="R6" s="2130"/>
      <c r="S6" s="2130"/>
      <c r="T6" s="2178"/>
      <c r="U6" s="2178"/>
      <c r="V6" s="476"/>
      <c r="W6" s="476"/>
      <c r="X6" s="476"/>
      <c r="Y6" s="2268"/>
      <c r="Z6" s="2269"/>
      <c r="AA6" s="2269"/>
      <c r="AB6" s="2269"/>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9"/>
      <c r="Z7" s="2269"/>
      <c r="AA7" s="2269"/>
      <c r="AB7" s="2269"/>
      <c r="AC7" s="476"/>
      <c r="AD7" s="476"/>
      <c r="AE7" s="476"/>
      <c r="AF7" s="476"/>
      <c r="AG7" s="476"/>
      <c r="AH7" s="476"/>
    </row>
    <row r="8" spans="1:34" ht="18" customHeight="1" x14ac:dyDescent="0.25">
      <c r="A8" s="251"/>
      <c r="B8" s="2270" t="s">
        <v>777</v>
      </c>
      <c r="C8" s="2271"/>
      <c r="D8" s="2271"/>
      <c r="E8" s="2271"/>
      <c r="F8" s="834"/>
      <c r="G8" s="834"/>
      <c r="H8" s="834"/>
      <c r="I8" s="834"/>
      <c r="J8" s="835"/>
      <c r="K8" s="438"/>
      <c r="L8" s="195" t="s">
        <v>932</v>
      </c>
      <c r="M8" s="454"/>
      <c r="N8" s="454"/>
      <c r="O8" s="454"/>
      <c r="P8" s="454"/>
      <c r="Q8" s="454"/>
      <c r="R8" s="454"/>
      <c r="S8" s="455"/>
      <c r="T8" s="498"/>
      <c r="U8" s="245"/>
      <c r="V8" s="476"/>
      <c r="W8" s="476"/>
      <c r="X8" s="476"/>
      <c r="Y8" s="2269"/>
      <c r="Z8" s="2269"/>
      <c r="AA8" s="2269"/>
      <c r="AB8" s="2269"/>
      <c r="AC8" s="476"/>
      <c r="AD8" s="476"/>
      <c r="AE8" s="476"/>
      <c r="AF8" s="476"/>
      <c r="AG8" s="476"/>
      <c r="AH8" s="476"/>
    </row>
    <row r="9" spans="1:34" ht="18" customHeight="1" x14ac:dyDescent="0.25">
      <c r="A9" s="245"/>
      <c r="B9" s="439"/>
      <c r="C9" s="802" t="s">
        <v>240</v>
      </c>
      <c r="D9" s="803" t="s">
        <v>799</v>
      </c>
      <c r="E9" s="815"/>
      <c r="F9" s="833"/>
      <c r="G9" s="639"/>
      <c r="H9" s="652"/>
      <c r="I9" s="1027">
        <f>'R-Entrada'!E14*313</f>
        <v>1565000</v>
      </c>
      <c r="J9" s="255" t="s">
        <v>241</v>
      </c>
      <c r="K9" s="440"/>
      <c r="L9" s="814"/>
      <c r="M9" s="456" t="s">
        <v>242</v>
      </c>
      <c r="N9" s="456"/>
      <c r="O9" s="456"/>
      <c r="P9" s="456"/>
      <c r="Q9" s="456"/>
      <c r="R9" s="456"/>
      <c r="S9" s="457"/>
      <c r="T9" s="836"/>
      <c r="U9" s="245"/>
      <c r="V9" s="476"/>
      <c r="W9" s="476"/>
      <c r="X9" s="476"/>
      <c r="Y9" s="2269"/>
      <c r="Z9" s="2269"/>
      <c r="AA9" s="2269"/>
      <c r="AB9" s="2269"/>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163.75</v>
      </c>
      <c r="T10" s="850" t="s">
        <v>21</v>
      </c>
      <c r="U10" s="754"/>
      <c r="V10" s="476"/>
      <c r="W10" s="476"/>
      <c r="X10" s="476"/>
      <c r="Y10" s="2269"/>
      <c r="Z10" s="2269"/>
      <c r="AA10" s="2269"/>
      <c r="AB10" s="2269"/>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168.75</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30</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28.75</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7.5</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5" t="s">
        <v>800</v>
      </c>
      <c r="AC16" s="2153"/>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85</v>
      </c>
      <c r="R17" s="807" t="s">
        <v>195</v>
      </c>
      <c r="S17" s="839">
        <f>Y18-(SUM(Z18:AC18))</f>
        <v>2057</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85</v>
      </c>
      <c r="R18" s="767" t="s">
        <v>195</v>
      </c>
      <c r="S18" s="760">
        <f>Y19-(SUM(Z19:AC19))</f>
        <v>127.5</v>
      </c>
      <c r="T18" s="852" t="s">
        <v>21</v>
      </c>
      <c r="U18" s="754"/>
      <c r="V18" s="476"/>
      <c r="W18" s="507" t="s">
        <v>247</v>
      </c>
      <c r="X18" s="786"/>
      <c r="Y18" s="254">
        <f>'R-Definição'!$D$14+'R-Definição'!$O$32</f>
        <v>2057</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127.5</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21.795800144822604</v>
      </c>
      <c r="J33" s="255" t="s">
        <v>195</v>
      </c>
      <c r="K33" s="254">
        <f>IF(OR(AND('R-Definição'!E122="Rota atual",'R-Definição'!E123="Aterro sanitário"),'R-Definição'!E122="Rota Futura"),'R-Definição'!N95+'R-Definição'!N96+'R-Definição'!N97+'R-Definição'!N98+'R-Definição'!N99,0)</f>
        <v>526.75000000000023</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78.204199855177407</v>
      </c>
      <c r="J36" s="255" t="s">
        <v>195</v>
      </c>
      <c r="K36" s="254">
        <f>IF(K37&lt;&gt;0,0,'R-Definição'!I51)</f>
        <v>1890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100.00000000000001</v>
      </c>
      <c r="J40" s="515" t="s">
        <v>195</v>
      </c>
      <c r="K40" s="241">
        <f>SUM(K29:K39)</f>
        <v>2416.75</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abSelected="1" topLeftCell="A2" zoomScale="70" zoomScaleNormal="70" workbookViewId="0">
      <selection activeCell="F34" sqref="F34"/>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4" t="s">
        <v>473</v>
      </c>
      <c r="D2" s="2139"/>
      <c r="E2" s="862"/>
      <c r="F2" s="1574" t="s">
        <v>485</v>
      </c>
      <c r="G2" s="2275" t="str">
        <f>IF('R-Definição'!D2&lt;&gt;0,'R-Definição'!D2,"")</f>
        <v>CIRSOP - Consórcio RSU Oeste Paulista</v>
      </c>
      <c r="H2" s="2276"/>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83" t="str">
        <f>Apresentação!I2</f>
        <v>RC-RSU V.1.0 - 15/10/2020</v>
      </c>
      <c r="D3" s="2283"/>
      <c r="E3" s="862"/>
      <c r="F3" s="1575" t="s">
        <v>486</v>
      </c>
      <c r="G3" s="2277" t="str">
        <f>IF('R-Definição'!D3&lt;&gt;0,'R-Definição'!D3,"")</f>
        <v>Biodigestão c/ Prod. E. Elétrica</v>
      </c>
      <c r="H3" s="2278"/>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5000</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0</v>
      </c>
      <c r="V7" s="992">
        <f>L59</f>
        <v>0</v>
      </c>
      <c r="W7" s="992">
        <f>L62</f>
        <v>0</v>
      </c>
      <c r="X7" s="992">
        <f>L65</f>
        <v>568.61503822429859</v>
      </c>
      <c r="Y7" s="992">
        <f>L68</f>
        <v>0</v>
      </c>
      <c r="Z7" s="992">
        <f>L71</f>
        <v>0</v>
      </c>
      <c r="AA7" s="992">
        <f>L74</f>
        <v>49.895794571891358</v>
      </c>
      <c r="AB7" s="1622"/>
    </row>
    <row r="8" spans="1:28" s="2017" customFormat="1" ht="17.649999999999999" customHeight="1" x14ac:dyDescent="0.25">
      <c r="A8" s="1735"/>
      <c r="B8" s="2063" t="s">
        <v>297</v>
      </c>
      <c r="C8" s="2018" t="s">
        <v>298</v>
      </c>
      <c r="D8" s="2019">
        <f>D40</f>
        <v>1560000</v>
      </c>
      <c r="E8" s="1735"/>
      <c r="F8" s="2063" t="s">
        <v>562</v>
      </c>
      <c r="G8" s="2018" t="s">
        <v>292</v>
      </c>
      <c r="H8" s="2015">
        <f>O78</f>
        <v>63.272243595997509</v>
      </c>
      <c r="I8" s="1735"/>
      <c r="J8" s="1735"/>
      <c r="K8" s="2016"/>
      <c r="L8" s="1735"/>
      <c r="M8" s="1735"/>
      <c r="N8" s="1735"/>
      <c r="O8" s="1735"/>
      <c r="P8" s="1735"/>
      <c r="Q8" s="1735"/>
      <c r="R8" s="991" t="s">
        <v>300</v>
      </c>
      <c r="S8" s="1623">
        <v>0</v>
      </c>
      <c r="T8" s="993">
        <f>L52</f>
        <v>0</v>
      </c>
      <c r="U8" s="993">
        <f>L55</f>
        <v>0</v>
      </c>
      <c r="V8" s="993">
        <f>L58</f>
        <v>0</v>
      </c>
      <c r="W8" s="993">
        <f>L61</f>
        <v>0</v>
      </c>
      <c r="X8" s="993">
        <f>L64</f>
        <v>1297.318326299664</v>
      </c>
      <c r="Y8" s="993">
        <f>L67</f>
        <v>0</v>
      </c>
      <c r="Z8" s="993">
        <f>L70</f>
        <v>0</v>
      </c>
      <c r="AA8" s="993">
        <f>L73</f>
        <v>124.59286892594994</v>
      </c>
      <c r="AB8" s="1622"/>
    </row>
    <row r="9" spans="1:28" s="2017" customFormat="1" ht="17.649999999999999" customHeight="1" x14ac:dyDescent="0.25">
      <c r="A9" s="1735"/>
      <c r="B9" s="2064" t="s">
        <v>558</v>
      </c>
      <c r="C9" s="2020" t="s">
        <v>298</v>
      </c>
      <c r="D9" s="2022">
        <f>D44</f>
        <v>604018.35000000009</v>
      </c>
      <c r="E9" s="1735"/>
      <c r="F9" s="2064" t="s">
        <v>936</v>
      </c>
      <c r="G9" s="2020" t="s">
        <v>292</v>
      </c>
      <c r="H9" s="2023">
        <f>IF('R-Definição'!$E$121="Existente",((D88+D89)*D44+(D89*D11))/1000000,((D85+D88)*D44+(D89*D11))/1000000)</f>
        <v>30.200917500000003</v>
      </c>
      <c r="I9" s="1735"/>
      <c r="J9" s="1735"/>
      <c r="K9" s="2016"/>
      <c r="L9" s="1735"/>
      <c r="M9" s="1735"/>
      <c r="N9" s="1735"/>
      <c r="O9" s="1735"/>
      <c r="P9" s="1735"/>
      <c r="Q9" s="1735"/>
      <c r="R9" s="991" t="s">
        <v>301</v>
      </c>
      <c r="S9" s="1623">
        <f>L92</f>
        <v>42.79999999999999</v>
      </c>
      <c r="T9" s="992">
        <f>P53</f>
        <v>0</v>
      </c>
      <c r="U9" s="992">
        <f>P56</f>
        <v>0</v>
      </c>
      <c r="V9" s="992">
        <f>P59</f>
        <v>0</v>
      </c>
      <c r="W9" s="992">
        <f>P62</f>
        <v>0</v>
      </c>
      <c r="X9" s="992">
        <f>P65</f>
        <v>21.420882045168547</v>
      </c>
      <c r="Y9" s="992">
        <f>P68</f>
        <v>0</v>
      </c>
      <c r="Z9" s="992">
        <f>P71</f>
        <v>0</v>
      </c>
      <c r="AA9" s="992">
        <f>IF('R-Definição'!E121="Novo",P74,(D44+D46)*D89/D40)</f>
        <v>19.138248465086267</v>
      </c>
      <c r="AB9" s="1622"/>
    </row>
    <row r="10" spans="1:28" s="2017" customFormat="1" ht="17.649999999999999" customHeight="1" x14ac:dyDescent="0.25">
      <c r="A10" s="1735"/>
      <c r="B10" s="2063" t="s">
        <v>715</v>
      </c>
      <c r="C10" s="2018" t="s">
        <v>195</v>
      </c>
      <c r="D10" s="2024">
        <f>D45</f>
        <v>0.6128087499999999</v>
      </c>
      <c r="E10" s="1735"/>
      <c r="F10" s="2064" t="str">
        <f>IF(D24="Sim","Custo Total Rota Tecnológica COM Coleta","Custo Total Rota Tecnológica SEM Coleta")</f>
        <v>Custo Total Rota Tecnológica SEM Coleta</v>
      </c>
      <c r="G10" s="2020" t="s">
        <v>292</v>
      </c>
      <c r="H10" s="2025">
        <f>H6+H8+H9</f>
        <v>93.473161095997511</v>
      </c>
      <c r="I10" s="1735"/>
      <c r="J10" s="1735"/>
      <c r="K10" s="2016"/>
      <c r="L10" s="1735"/>
      <c r="M10" s="1735"/>
      <c r="N10" s="1735"/>
      <c r="O10" s="1735"/>
      <c r="P10" s="1735"/>
      <c r="Q10" s="1735"/>
      <c r="R10" s="991" t="s">
        <v>302</v>
      </c>
      <c r="S10" s="1623">
        <v>0</v>
      </c>
      <c r="T10" s="993">
        <f>P52</f>
        <v>0</v>
      </c>
      <c r="U10" s="993">
        <f>P55</f>
        <v>0</v>
      </c>
      <c r="V10" s="993">
        <f>P58</f>
        <v>0</v>
      </c>
      <c r="W10" s="993">
        <f>P61</f>
        <v>0</v>
      </c>
      <c r="X10" s="993">
        <f>P64</f>
        <v>48.872613234929112</v>
      </c>
      <c r="Y10" s="993">
        <f>P67</f>
        <v>0</v>
      </c>
      <c r="Z10" s="993">
        <f>P70</f>
        <v>0</v>
      </c>
      <c r="AA10" s="992">
        <f>IF('R-Definição'!E121="Novo",P73,D89)</f>
        <v>47.789383913850941</v>
      </c>
      <c r="AB10" s="1622"/>
    </row>
    <row r="11" spans="1:28" s="2017" customFormat="1" ht="17.649999999999999" customHeight="1" x14ac:dyDescent="0.25">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51.029223125909809</v>
      </c>
      <c r="V11" s="994">
        <f>IF(V12&gt;0,($L44*$D112+$L46*$D111)/(V12*312),0)</f>
        <v>51.334528479498402</v>
      </c>
      <c r="W11" s="994">
        <f>IF(W12&gt;0,($L45*$D112+$L47*$D111)/(W12*312),0)</f>
        <v>0</v>
      </c>
      <c r="X11" s="994">
        <f>IF(X12&gt;0,($P42*$D114+$P45*$D117)/(X12*312),0)</f>
        <v>118.63004259018824</v>
      </c>
      <c r="Y11" s="994">
        <f>IF(Y12&gt;0,($L48*$D108+$L49*$D109)/(Y12*312),0)</f>
        <v>0</v>
      </c>
      <c r="Z11" s="994">
        <f>IF(Z12&gt;0,($P43*$D114)/(Z12*312),0)</f>
        <v>0</v>
      </c>
      <c r="AA11" s="994">
        <f>IF(AA12&gt;0,($P44*$D114+$P46*$D117)/(AA12*312),0)</f>
        <v>0</v>
      </c>
      <c r="AB11" s="1622"/>
    </row>
    <row r="12" spans="1:28" s="2017" customFormat="1" ht="17.649999999999999" customHeight="1" x14ac:dyDescent="0.25">
      <c r="A12" s="1735"/>
      <c r="B12" s="2063" t="s">
        <v>560</v>
      </c>
      <c r="C12" s="2018" t="s">
        <v>195</v>
      </c>
      <c r="D12" s="2024">
        <f>(D16)/D8</f>
        <v>8.6464214998186184E-2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93.473161095997511</v>
      </c>
      <c r="I12" s="1735"/>
      <c r="J12" s="1735"/>
      <c r="K12" s="2016"/>
      <c r="L12" s="1735"/>
      <c r="M12" s="1735"/>
      <c r="N12" s="1735"/>
      <c r="O12" s="1735"/>
      <c r="P12" s="1735"/>
      <c r="Q12" s="1735"/>
      <c r="R12" s="991" t="s">
        <v>303</v>
      </c>
      <c r="S12" s="1623">
        <f>D38</f>
        <v>5000</v>
      </c>
      <c r="T12" s="992">
        <f>$H52/312</f>
        <v>0</v>
      </c>
      <c r="U12" s="992">
        <f>$H55/312</f>
        <v>5016.0256410256407</v>
      </c>
      <c r="V12" s="992">
        <f>$H58/312</f>
        <v>1896.0576923076924</v>
      </c>
      <c r="W12" s="992">
        <f>$H61/312</f>
        <v>0</v>
      </c>
      <c r="X12" s="992">
        <f>$H64/312</f>
        <v>2191.5016025641025</v>
      </c>
      <c r="Y12" s="992">
        <f>$H67/312</f>
        <v>1862.776362179487</v>
      </c>
      <c r="Z12" s="992">
        <f>$H70/312</f>
        <v>0</v>
      </c>
      <c r="AA12" s="992">
        <f>(D44+D46)/312</f>
        <v>1935.9562500000004</v>
      </c>
      <c r="AB12" s="1622"/>
    </row>
    <row r="13" spans="1:28" s="2017" customFormat="1" ht="17.649999999999999" customHeight="1" thickBot="1" x14ac:dyDescent="0.3">
      <c r="A13" s="1735"/>
      <c r="B13" s="2065" t="s">
        <v>937</v>
      </c>
      <c r="C13" s="2026" t="s">
        <v>195</v>
      </c>
      <c r="D13" s="2027">
        <f>D16/((SUM('R-Entrada'!G28:G33))*312)</f>
        <v>0.27104769591907896</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59.918693010254813</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134884.17539717045</v>
      </c>
      <c r="E16" s="65"/>
      <c r="F16" s="2063" t="s">
        <v>565</v>
      </c>
      <c r="G16" s="2031" t="s">
        <v>304</v>
      </c>
      <c r="H16" s="2015">
        <f>K78</f>
        <v>964.87689916205625</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0.31050313744666402</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282646.61828672839</v>
      </c>
      <c r="E18" s="65"/>
      <c r="F18" s="2064" t="s">
        <v>568</v>
      </c>
      <c r="G18" s="2029" t="s">
        <v>305</v>
      </c>
      <c r="H18" s="2022">
        <f>H24*1000000/D40</f>
        <v>798.85986011822411</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303679.6701261687</v>
      </c>
      <c r="E19" s="65"/>
      <c r="F19" s="2064" t="str">
        <f>J77</f>
        <v>Reinvestimento Total Rota (cada 5 anos)</v>
      </c>
      <c r="G19" s="2033" t="s">
        <v>304</v>
      </c>
      <c r="H19" s="2034">
        <f>K77</f>
        <v>13.986065729935131</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92700.701343974084</v>
      </c>
      <c r="E20" s="65"/>
      <c r="F20" s="2066" t="s">
        <v>571</v>
      </c>
      <c r="G20" s="2035" t="s">
        <v>304</v>
      </c>
      <c r="H20" s="2036">
        <f>K75</f>
        <v>104.82401286447264</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23175175.335993521</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1246.2213817844295</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1109</v>
      </c>
      <c r="G25" s="2059" t="s">
        <v>195</v>
      </c>
      <c r="H25" s="2060">
        <f>'C-FCL Real'!C28</f>
        <v>9.611299999999999E-2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-0.30595244047919934</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9742.8624906519781</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1110</v>
      </c>
      <c r="C28" s="2033" t="s">
        <v>292</v>
      </c>
      <c r="D28" s="2047">
        <v>1</v>
      </c>
      <c r="E28" s="1735"/>
      <c r="F28" s="2064" t="str">
        <f>'C-FCL Real'!K27</f>
        <v>Índice de Retorno do Inv.: TIR</v>
      </c>
      <c r="G28" s="2033" t="s">
        <v>195</v>
      </c>
      <c r="H28" s="2048" t="e">
        <f>'C-FCL Real'!H9</f>
        <v>#NUM!</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1111</v>
      </c>
      <c r="C29" s="2033" t="s">
        <v>304</v>
      </c>
      <c r="D29" s="2047">
        <v>0</v>
      </c>
      <c r="E29" s="1735"/>
      <c r="F29" s="2073" t="str">
        <f>'C-FCL Real'!O26</f>
        <v>Taxa de Lucratividade do Investimento</v>
      </c>
      <c r="G29" s="2049" t="s">
        <v>195</v>
      </c>
      <c r="H29" s="2050">
        <f>'C-FCL Real'!H14</f>
        <v>8.8179227487667138</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1112</v>
      </c>
      <c r="C30" s="2051" t="s">
        <v>304</v>
      </c>
      <c r="D30" s="2052">
        <v>0</v>
      </c>
      <c r="E30" s="1735"/>
      <c r="F30" s="2074" t="s">
        <v>955</v>
      </c>
      <c r="G30" s="2061" t="s">
        <v>311</v>
      </c>
      <c r="H30" s="2062">
        <f>D32*(D8*H33+D31*312*H31)/1000000000</f>
        <v>17.211882215556663</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47.789383913850941</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1114</v>
      </c>
      <c r="G32" s="2007" t="s">
        <v>1107</v>
      </c>
      <c r="H32" s="2079">
        <f>'C-Calc Tarifa'!M32</f>
        <v>270.02968572768015</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1106</v>
      </c>
      <c r="C33" s="2008" t="s">
        <v>295</v>
      </c>
      <c r="D33" s="2009">
        <v>120.52582597414886</v>
      </c>
      <c r="E33" s="1079"/>
      <c r="F33" s="2078" t="s">
        <v>1108</v>
      </c>
      <c r="G33" s="2055" t="s">
        <v>295</v>
      </c>
      <c r="H33" s="2056">
        <v>314.66246540689212</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134884.17539717045</v>
      </c>
      <c r="I36" s="151"/>
      <c r="J36" s="1520" t="s">
        <v>898</v>
      </c>
      <c r="K36" s="271" t="s">
        <v>298</v>
      </c>
      <c r="L36" s="1531">
        <f>('R-Resumo Bal. Massa'!F58+'R-Resumo Bal. Massa'!G58)*312*D48/D8</f>
        <v>55391.307138022974</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10.383876954253131</v>
      </c>
      <c r="E37" s="151"/>
      <c r="F37" s="1520" t="s">
        <v>892</v>
      </c>
      <c r="G37" s="1483" t="s">
        <v>298</v>
      </c>
      <c r="H37" s="1531">
        <f>L48</f>
        <v>0</v>
      </c>
      <c r="I37" s="151"/>
      <c r="J37" s="1520" t="s">
        <v>899</v>
      </c>
      <c r="K37" s="1483" t="s">
        <v>298</v>
      </c>
      <c r="L37" s="1531">
        <f>('R-Resumo Bal. Massa'!F59+'R-Resumo Bal. Massa'!G59)*312*D48/D8</f>
        <v>37632.262101404922</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5000</v>
      </c>
      <c r="E38" s="151"/>
      <c r="F38" s="1520" t="s">
        <v>893</v>
      </c>
      <c r="G38" s="1483" t="s">
        <v>298</v>
      </c>
      <c r="H38" s="1531">
        <f>L49</f>
        <v>282646.61828672839</v>
      </c>
      <c r="I38" s="151"/>
      <c r="J38" s="1520" t="s">
        <v>900</v>
      </c>
      <c r="K38" s="1483" t="s">
        <v>298</v>
      </c>
      <c r="L38" s="1531">
        <f>('R-Resumo Bal. Massa'!F60+'R-Resumo Bal. Massa'!G60)*312*D48/D8</f>
        <v>19450.382659153107</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130000</v>
      </c>
      <c r="E39" s="151"/>
      <c r="F39" s="1520" t="s">
        <v>894</v>
      </c>
      <c r="G39" s="1483" t="s">
        <v>298</v>
      </c>
      <c r="H39" s="1531">
        <f>L44+L45</f>
        <v>303679.6701261687</v>
      </c>
      <c r="I39" s="151"/>
      <c r="J39" s="1520" t="s">
        <v>901</v>
      </c>
      <c r="K39" s="1483" t="s">
        <v>298</v>
      </c>
      <c r="L39" s="1531">
        <f>('R-Resumo Bal. Massa'!F61+'R-Resumo Bal. Massa'!G61)*312*D48/D8</f>
        <v>10148.025735210316</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1560000</v>
      </c>
      <c r="E40" s="151"/>
      <c r="F40" s="1520" t="s">
        <v>895</v>
      </c>
      <c r="G40" s="1483" t="s">
        <v>298</v>
      </c>
      <c r="H40" s="1531">
        <f>L46+L47</f>
        <v>0</v>
      </c>
      <c r="I40" s="151"/>
      <c r="J40" s="1520" t="s">
        <v>902</v>
      </c>
      <c r="K40" s="1483" t="s">
        <v>298</v>
      </c>
      <c r="L40" s="1531">
        <f>('R-Resumo Bal. Massa'!F63+'R-Resumo Bal. Massa'!G63)*312*D48/D8</f>
        <v>2537.0064338025791</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92700.701343974084</v>
      </c>
      <c r="I41" s="151"/>
      <c r="J41" s="1520" t="s">
        <v>903</v>
      </c>
      <c r="K41" s="1483" t="s">
        <v>298</v>
      </c>
      <c r="L41" s="1531">
        <f>('R-Resumo Bal. Massa'!F62+'R-Resumo Bal. Massa'!G62)*312*D48/D8</f>
        <v>9725.1913295765535</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23175175.335993521</v>
      </c>
      <c r="I42" s="151"/>
      <c r="J42" s="1520" t="s">
        <v>904</v>
      </c>
      <c r="K42" s="1483" t="s">
        <v>298</v>
      </c>
      <c r="L42" s="1531">
        <f>('R-Resumo Bal. Massa'!J63)*312*D48/D8</f>
        <v>0</v>
      </c>
      <c r="M42" s="151"/>
      <c r="N42" s="1520" t="s">
        <v>922</v>
      </c>
      <c r="O42" s="1483" t="s">
        <v>306</v>
      </c>
      <c r="P42" s="1572">
        <f>IF('R-Definição'!J59&gt;0,'R-Resumo Bal. Massa'!I74*312/1000,0)*D48/D8</f>
        <v>92700.701343974084</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1560000</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604018.35000000009</v>
      </c>
      <c r="E44" s="151"/>
      <c r="F44" s="1520"/>
      <c r="G44" s="1483"/>
      <c r="H44" s="1531"/>
      <c r="I44" s="151"/>
      <c r="J44" s="1520" t="s">
        <v>906</v>
      </c>
      <c r="K44" s="271" t="s">
        <v>298</v>
      </c>
      <c r="L44" s="1531">
        <f>IF('R-Definição'!I51&gt;0,('R-Definição'!I49-'R-Definição'!O53-'R-Definição'!O55)*'R-Definição'!L50/100*312,0)*D48/D8</f>
        <v>303679.6701261687</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0.6128087499999999</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23175175.335993521</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1121</v>
      </c>
      <c r="C48" s="1483" t="s">
        <v>298</v>
      </c>
      <c r="D48" s="1782">
        <f>SUMIF('C-FCL Real'!$C$33:'C-FCL Real'!$BG$33,1,'C-FCL Real'!C35:'C-FCL Real'!BG35)/D32</f>
        <v>1691337.6225350527</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t="str">
        <f>B48</f>
        <v>Qt Médio de Geração de RSU no Prazo do Contrato</v>
      </c>
      <c r="C49" s="1536" t="s">
        <v>21</v>
      </c>
      <c r="D49" s="1532">
        <f>D48/312</f>
        <v>5420.9539183815796</v>
      </c>
      <c r="E49" s="151"/>
      <c r="F49" s="1522"/>
      <c r="G49" s="1536"/>
      <c r="H49" s="1532"/>
      <c r="I49" s="151"/>
      <c r="J49" s="1522" t="s">
        <v>911</v>
      </c>
      <c r="K49" s="1536" t="s">
        <v>298</v>
      </c>
      <c r="L49" s="1532">
        <f>'R-Resumo Bal. Massa'!I67*312*D48/D8</f>
        <v>282646.61828672839</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customHeight="1" outlineLevel="1" x14ac:dyDescent="0.25">
      <c r="A55" s="44"/>
      <c r="B55" s="1520" t="s">
        <v>583</v>
      </c>
      <c r="C55" s="1483" t="s">
        <v>760</v>
      </c>
      <c r="D55" s="1565">
        <v>0</v>
      </c>
      <c r="E55" s="194"/>
      <c r="F55" s="1097" t="s">
        <v>326</v>
      </c>
      <c r="G55" s="1097" t="str">
        <f>'C-Triagem Mec'!L2</f>
        <v>Sim</v>
      </c>
      <c r="H55" s="1097">
        <f>IF('C-Triagem Mec'!D2&gt;0,'C-Triagem Mec'!H2,0)</f>
        <v>1565000</v>
      </c>
      <c r="I55" s="679"/>
      <c r="J55" s="1097" t="s">
        <v>326</v>
      </c>
      <c r="K55" s="1624">
        <f>IF('C-Triagem Mec'!$E$7="SIM",'C-Triagem Mec'!$E$19,IF('C-Triagem Mec'!$I$7="SIM",'C-Triagem Mec'!$I$19,IF('C-Triagem Mec'!$M$7="SIM",'C-Triagem Mec'!$M$19,IF('C-Triagem Mec'!$Q$7="SIM",'C-Triagem Mec'!$Q$19,IF('C-Triagem Mec'!$U$7="SIM",'C-Triagem Mec'!$U$19,0)))))</f>
        <v>0</v>
      </c>
      <c r="L55" s="1097">
        <f>IF('C-Triagem Mec'!$E$7="SIM",'C-Triagem Mec'!$E$20,IF('C-Triagem Mec'!$I$7="SIM",'C-Triagem Mec'!$I$20,IF('C-Triagem Mec'!$M$7="SIM",'C-Triagem Mec'!$M$20,IF('C-Triagem Mec'!$Q$7="SIM",'C-Triagem Mec'!$Q$20,IF('C-Triagem Mec'!$U$7="SIM",'C-Triagem Mec'!$U$20,0)))))</f>
        <v>0</v>
      </c>
      <c r="M55" s="194"/>
      <c r="N55" s="1097" t="s">
        <v>326</v>
      </c>
      <c r="O55" s="1624">
        <f>IF('C-Triagem Mec'!$E$7="SIM",'C-Triagem Mec'!$E$43,IF('C-Triagem Mec'!$I$7="SIM",'C-Triagem Mec'!$I$43,IF('C-Triagem Mec'!$M$7="SIM",'C-Triagem Mec'!$M$43,IF('C-Triagem Mec'!$Q$7="SIM",'C-Triagem Mec'!$Q$43,IF('C-Triagem Mec'!$U$7="SIM",'C-Triagem Mec'!$U$43,0)))))</f>
        <v>0</v>
      </c>
      <c r="P55" s="1097">
        <f>IF('C-Triagem Mec'!$E$7="SIM",'C-Triagem Mec'!$E$42,IF('C-Triagem Mec'!$I$7="SIM",'C-Triagem Mec'!$I$42,IF('C-Triagem Mec'!$M$7="SIM",'C-Triagem Mec'!$M$42,IF('C-Triagem Mec'!$Q$7="SIM",'C-Triagem Mec'!$Q$42,IF('C-Triagem Mec'!$U$7="SIM",'C-Triagem Mec'!$U$42,0)))))</f>
        <v>0</v>
      </c>
      <c r="Q55" s="194"/>
      <c r="R55" s="988"/>
      <c r="S55" s="989"/>
      <c r="T55" s="989"/>
      <c r="U55" s="989"/>
      <c r="V55" s="989"/>
      <c r="W55" s="989"/>
      <c r="X55" s="989"/>
      <c r="Y55" s="989"/>
      <c r="Z55" s="1597"/>
    </row>
    <row r="56" spans="1:26" ht="17.649999999999999"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0</v>
      </c>
      <c r="M56" s="194"/>
      <c r="N56" s="1520" t="s">
        <v>323</v>
      </c>
      <c r="O56" s="278">
        <f>IF(AND(H55&gt;0,D98="Não"),((L36*D101)+(L37*D102)+(L38*D103)+(L39*D104)+(L40*D106)+(L41*D105))/$D$40,((L36*D101)+(L37*D102)+(L38*D103)+(L39*D104)+(L40*D106)+(L41*D105))/$D$40*(1-D99))</f>
        <v>0</v>
      </c>
      <c r="P56" s="1506">
        <f>IF(O55&gt;0,O55*1000000/$D$40,0)</f>
        <v>0</v>
      </c>
      <c r="Q56" s="194"/>
      <c r="R56" s="988"/>
      <c r="S56" s="989"/>
      <c r="T56" s="989"/>
      <c r="U56" s="989"/>
      <c r="V56" s="989"/>
      <c r="W56" s="989"/>
      <c r="X56" s="989"/>
      <c r="Y56" s="989"/>
      <c r="Z56" s="1597"/>
    </row>
    <row r="57" spans="1:26" ht="17.649999999999999" customHeight="1" outlineLevel="1" x14ac:dyDescent="0.25">
      <c r="A57" s="44"/>
      <c r="B57" s="1520" t="s">
        <v>585</v>
      </c>
      <c r="C57" s="1483" t="s">
        <v>760</v>
      </c>
      <c r="D57" s="1565">
        <v>500</v>
      </c>
      <c r="E57" s="194"/>
      <c r="F57" s="1520" t="s">
        <v>591</v>
      </c>
      <c r="G57" s="264" t="str">
        <f>IF('C-Triagem Mec'!$E$7="SIM",'C-Triagem Mec'!$D$17,IF('C-Triagem Mec'!$I$7="SIM",'C-Triagem Mec'!$H$17,IF('C-Triagem Mec'!$M$7="SIM",'C-Triagem Mec'!$L$17,IF('C-Triagem Mec'!$Q$7="SIM",'C-Triagem Mec'!$P$17,IF('C-Triagem Mec'!$U$7="SIM",'C-Triagem Mec'!$T$17,"0")))))</f>
        <v>0</v>
      </c>
      <c r="H57" s="1559"/>
      <c r="I57" s="679"/>
      <c r="J57" s="1549" t="s">
        <v>324</v>
      </c>
      <c r="K57" s="271" t="str">
        <f>IF('C-Triagem Mec'!$E$7="SIM",'C-Triagem Mec'!$E$23,IF('C-Triagem Mec'!$I$7="SIM",'C-Triagem Mec'!$I$23,IF('C-Triagem Mec'!$M$7="SIM",'C-Triagem Mec'!$M$23,IF('C-Triagem Mec'!$Q$7="SIM",'C-Triagem Mec'!$Q$23,IF('C-Triagem Mec'!$U$7="SIM",'C-Triagem Mec'!$U$23,"0")))))</f>
        <v>0</v>
      </c>
      <c r="L57" s="1550"/>
      <c r="M57" s="194"/>
      <c r="N57" s="1520" t="s">
        <v>325</v>
      </c>
      <c r="O57" s="278">
        <f>IF('C-Triagem Mec'!$E$7="SIM",'C-Triagem Mec'!$E$44,IF('C-Triagem Mec'!$I$7="SIM",'C-Triagem Mec'!$I$44,IF('C-Triagem Mec'!$M$7="SIM",'C-Triagem Mec'!$M$44,IF('C-Triagem Mec'!$Q$7="SIM",'C-Triagem Mec'!$Q$44,IF('C-Triagem Mec'!$U$7="SIM",'C-Triagem Mec'!$U$44,0)))))</f>
        <v>0</v>
      </c>
      <c r="P57" s="1525">
        <f>IF('C-Triagem Mec'!$E$7="SIM",'C-Triagem Mec'!$E$45,IF('C-Triagem Mec'!$I$7="SIM",'C-Triagem Mec'!$I$45,IF('C-Triagem Mec'!$M$7="SIM",'C-Triagem Mec'!$M$45,IF('C-Triagem Mec'!$Q$7="SIM",'C-Triagem Mec'!$Q$45,IF('C-Triagem Mec'!$U$7="SIM",'C-Triagem Mec'!$U$45,0)))))</f>
        <v>0</v>
      </c>
      <c r="Q57" s="194"/>
      <c r="R57" s="988"/>
      <c r="S57" s="989"/>
      <c r="T57" s="989"/>
      <c r="U57" s="989"/>
      <c r="V57" s="989"/>
      <c r="W57" s="989"/>
      <c r="X57" s="989"/>
      <c r="Y57" s="989"/>
      <c r="Z57" s="1597"/>
    </row>
    <row r="58" spans="1:26" ht="17.649999999999999" customHeight="1" outlineLevel="1" x14ac:dyDescent="0.25">
      <c r="A58" s="43"/>
      <c r="B58" s="1520" t="s">
        <v>1115</v>
      </c>
      <c r="C58" s="1999" t="s">
        <v>195</v>
      </c>
      <c r="D58" s="1530">
        <v>0.65</v>
      </c>
      <c r="E58" s="194"/>
      <c r="F58" s="1097" t="s">
        <v>592</v>
      </c>
      <c r="G58" s="1097" t="str">
        <f>'C-Produção CDR-TM'!L2</f>
        <v>Sim</v>
      </c>
      <c r="H58" s="1097">
        <f>IF('C-Produção CDR-TM'!D2&gt;0,'C-Produção CDR-TM'!H2,0)</f>
        <v>591570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649999999999999"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19.466645520908248</v>
      </c>
      <c r="P59" s="1504">
        <f>IF(O58&gt;0,O58*1000000/$D$40,0)</f>
        <v>0</v>
      </c>
      <c r="Q59" s="194"/>
      <c r="R59" s="988"/>
      <c r="S59" s="989"/>
      <c r="T59" s="989"/>
      <c r="U59" s="989"/>
      <c r="V59" s="989"/>
      <c r="W59" s="989"/>
      <c r="X59" s="989"/>
      <c r="Y59" s="989"/>
      <c r="Z59" s="1597"/>
    </row>
    <row r="60" spans="1:26" ht="17.649999999999999" customHeight="1" outlineLevel="1" x14ac:dyDescent="0.25">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649999999999999" customHeight="1" outlineLevel="1" x14ac:dyDescent="0.25">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649999999999999"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649999999999999" customHeight="1" outlineLevel="1" x14ac:dyDescent="0.25">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649999999999999" customHeight="1" outlineLevel="1" x14ac:dyDescent="0.25">
      <c r="A64" s="43"/>
      <c r="B64" s="1520" t="s">
        <v>601</v>
      </c>
      <c r="C64" s="1482" t="s">
        <v>328</v>
      </c>
      <c r="D64" s="1567">
        <v>10000</v>
      </c>
      <c r="E64" s="270"/>
      <c r="F64" s="1097" t="s">
        <v>329</v>
      </c>
      <c r="G64" s="1097" t="str">
        <f>'C-Biodigestão'!L2</f>
        <v>Sim</v>
      </c>
      <c r="H64" s="1097">
        <f>IF('C-Biodigestão'!D2&gt;0,'C-Biodigestão'!H2,0)</f>
        <v>683748.5</v>
      </c>
      <c r="I64" s="679"/>
      <c r="J64" s="1097" t="s">
        <v>329</v>
      </c>
      <c r="K64" s="1624">
        <f>IF('C-Biodigestão'!$E$7="SIM",'C-Biodigestão'!$E$19,IF('C-Biodigestão'!$I$7="SIM",'C-Biodigestão'!$I$19,IF('C-Biodigestão'!$M$7="SIM",'C-Biodigestão'!$M$19,IF('C-Biodigestão'!$Q$7="SIM",'C-Biodigestão'!$Q$19,IF('C-Biodigestão'!$U$7="SIM",'C-Biodigestão'!$U$19,0)))))</f>
        <v>887.03945962990576</v>
      </c>
      <c r="L64" s="1097">
        <f>IF('C-Biodigestão'!$E$7="SIM",'C-Biodigestão'!$E$20,IF('C-Biodigestão'!$I$7="SIM",'C-Biodigestão'!$I$20,IF('C-Biodigestão'!$M$7="SIM",'C-Biodigestão'!$M$20,IF('C-Biodigestão'!$Q$7="SIM",'C-Biodigestão'!$Q$20,IF('C-Biodigestão'!$U$7="SIM",'C-Biodigestão'!$U$20,0)))))</f>
        <v>1297.318326299664</v>
      </c>
      <c r="M64" s="280"/>
      <c r="N64" s="1097" t="s">
        <v>329</v>
      </c>
      <c r="O64" s="1624">
        <f>IF('C-Biodigestão'!$E$7="SIM",'C-Biodigestão'!$E$46,IF('C-Biodigestão'!$I$7="SIM",'C-Biodigestão'!$I$46,IF('C-Biodigestão'!$M$7="SIM",'C-Biodigestão'!$M$46,IF('C-Biodigestão'!$Q$7="SIM",'C-Biodigestão'!$Q$46,IF('C-Biodigestão'!$U$7="SIM",'C-Biodigestão'!$U$46,0)))))</f>
        <v>33.416575990462931</v>
      </c>
      <c r="P64" s="1097">
        <f>IF('C-Biodigestão'!$E$7="SIM",'C-Biodigestão'!$E$45,IF('C-Biodigestão'!$I$7="SIM",'C-Biodigestão'!$I$45,IF('C-Biodigestão'!$M$7="SIM",'C-Biodigestão'!$M$45,IF('C-Biodigestão'!$Q$7="SIM",'C-Biodigestão'!$Q$45,IF('C-Biodigestão'!$U$7="SIM",'C-Biodigestão'!$U$45,0)))))</f>
        <v>48.872613234929112</v>
      </c>
      <c r="Q64" s="194"/>
      <c r="R64" s="988"/>
      <c r="S64" s="989"/>
      <c r="T64" s="989"/>
      <c r="U64" s="989"/>
      <c r="V64" s="989"/>
      <c r="W64" s="989"/>
      <c r="X64" s="989"/>
      <c r="Y64" s="989"/>
      <c r="Z64" s="1597"/>
    </row>
    <row r="65" spans="1:26" ht="17.649999999999999"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568.61503822429859</v>
      </c>
      <c r="M65" s="281"/>
      <c r="N65" s="1520" t="s">
        <v>323</v>
      </c>
      <c r="O65" s="278">
        <f>IF(H64&gt;0,((P42*D114)+(P45*D117))/$D$40,0)</f>
        <v>51.995585689729054</v>
      </c>
      <c r="P65" s="1506">
        <f>IF(O64&gt;0,O64*1000000/$D$40,0)</f>
        <v>21.420882045168547</v>
      </c>
      <c r="Q65" s="194"/>
      <c r="R65" s="988"/>
      <c r="S65" s="989"/>
      <c r="T65" s="989"/>
      <c r="U65" s="989"/>
      <c r="V65" s="989"/>
      <c r="W65" s="989"/>
      <c r="X65" s="989"/>
      <c r="Y65" s="989"/>
      <c r="Z65" s="1597"/>
    </row>
    <row r="66" spans="1:26" ht="17.649999999999999" customHeight="1" outlineLevel="1" x14ac:dyDescent="0.25">
      <c r="A66" s="37"/>
      <c r="B66" s="1520" t="s">
        <v>761</v>
      </c>
      <c r="C66" s="2281" t="s">
        <v>330</v>
      </c>
      <c r="D66" s="2282"/>
      <c r="E66" s="270"/>
      <c r="F66" s="1520" t="s">
        <v>591</v>
      </c>
      <c r="G66" s="264">
        <f>IF('C-Biodigestão'!$E$7="SIM",'C-Biodigestão'!$D$17,IF('C-Biodigestão'!$I$7="SIM",'C-Biodigestão'!$H$17,IF('C-Biodigestão'!$M$7="SIM",'C-Biodigestão'!$L$17,IF('C-Biodigestão'!$Q$7="SIM",'C-Biodigestão'!$P$17,IF('C-Biodigestão'!$U$7="SIM",'C-Biodigestão'!$T$17,"0")))))</f>
        <v>323520.52082365868</v>
      </c>
      <c r="H66" s="1558"/>
      <c r="I66" s="864"/>
      <c r="J66" s="1549" t="s">
        <v>324</v>
      </c>
      <c r="K66" s="271">
        <f>IF('C-Biodigestão'!$E$7="SIM",'C-Biodigestão'!$E$26,IF('C-Biodigestão'!$I$7="SIM",'C-Biodigestão'!$I$26,IF('C-Biodigestão'!$M$7="SIM",'C-Biodigestão'!$M$26,IF('C-Biodigestão'!$Q$7="SIM",'C-Biodigestão'!$Q$26,IF('C-Biodigestão'!$U$7="SIM",'C-Biodigestão'!$U$26,"0")))))</f>
        <v>13.986065729935131</v>
      </c>
      <c r="L66" s="1551"/>
      <c r="M66" s="281"/>
      <c r="N66" s="1520" t="s">
        <v>325</v>
      </c>
      <c r="O66" s="278">
        <f>IF('C-Biodigestão'!$E$7="SIM",'C-Biodigestão'!$E$47,IF('C-Biodigestão'!$I$7="SIM",'C-Biodigestão'!$I$47,IF('C-Biodigestão'!$M$7="SIM",'C-Biodigestão'!$M$47,IF('C-Biodigestão'!$Q$7="SIM",'C-Biodigestão'!$Q$47,IF('C-Biodigestão'!$U$7="SIM",'C-Biodigestão'!$U$47,0)))))</f>
        <v>4.3944000000000001</v>
      </c>
      <c r="P66" s="1525">
        <f>IF('C-Biodigestão'!$E$7="SIM",'C-Biodigestão'!$E$48,IF('C-Biodigestão'!$I$7="SIM",'C-Biodigestão'!$I$48,IF('C-Biodigestão'!$M$7="SIM",'C-Biodigestão'!$M$48,IF('C-Biodigestão'!$Q$7="SIM",'C-Biodigestão'!$Q$48,IF('C-Biodigestão'!$U$7="SIM",'C-Biodigestão'!$U$48,0)))))</f>
        <v>42.445688715167826</v>
      </c>
      <c r="Q66" s="194"/>
      <c r="R66" s="1000"/>
      <c r="S66" s="1001"/>
      <c r="T66" s="1001"/>
      <c r="U66" s="1001"/>
      <c r="V66" s="1001"/>
      <c r="W66" s="1001"/>
      <c r="X66" s="1001"/>
      <c r="Y66" s="1001"/>
      <c r="Z66" s="1601"/>
    </row>
    <row r="67" spans="1:26" ht="17.649999999999999" customHeight="1" outlineLevel="1" x14ac:dyDescent="0.25">
      <c r="A67" s="46"/>
      <c r="B67" s="1520" t="s">
        <v>603</v>
      </c>
      <c r="C67" s="1483" t="s">
        <v>328</v>
      </c>
      <c r="D67" s="1567">
        <v>1250</v>
      </c>
      <c r="E67" s="269"/>
      <c r="F67" s="1097" t="s">
        <v>132</v>
      </c>
      <c r="G67" s="1097" t="str">
        <f>'C-Compostagem'!L2</f>
        <v>Sim</v>
      </c>
      <c r="H67" s="1097">
        <f>IF('C-Compostagem'!D2&gt;0,'C-Compostagem'!H2,0)</f>
        <v>581186.22499999998</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649999999999999"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649999999999999" customHeight="1" outlineLevel="1" x14ac:dyDescent="0.25">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649999999999999" customHeight="1" outlineLevel="1" x14ac:dyDescent="0.25">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649999999999999"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649999999999999" customHeight="1" outlineLevel="1" x14ac:dyDescent="0.25">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649999999999999" customHeight="1" outlineLevel="1" x14ac:dyDescent="0.25">
      <c r="A73" s="34"/>
      <c r="B73" s="1520" t="s">
        <v>609</v>
      </c>
      <c r="C73" s="1482" t="s">
        <v>327</v>
      </c>
      <c r="D73" s="1565">
        <v>53</v>
      </c>
      <c r="E73" s="194"/>
      <c r="F73" s="1097" t="s">
        <v>66</v>
      </c>
      <c r="G73" s="1097" t="str">
        <f>'C-Aterro Sanitário'!L2</f>
        <v>Sim</v>
      </c>
      <c r="H73" s="1097">
        <f>IF('C-Aterro Sanitário'!D2&gt;0,'C-Aterro Sanitário'!H2,0)</f>
        <v>624734.30625000002</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77.837439532150526</v>
      </c>
      <c r="L73" s="1097">
        <f>IF('C-Aterro Sanitário'!$E$7="SIM",'C-Aterro Sanitário'!$E$19,IF('C-Aterro Sanitário'!$I$7="SIM",'C-Aterro Sanitário'!$I$19,IF('C-Aterro Sanitário'!$M$7="SIM",'C-Aterro Sanitário'!$M$19,IF('C-Aterro Sanitário'!$Q$7="SIM",'C-Aterro Sanitário'!$Q$19,IF('C-Aterro Sanitário'!$U$7="SIM",'C-Aterro Sanitário'!$U$19,0)))))</f>
        <v>124.59286892594994</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29.855667605534581</v>
      </c>
      <c r="P73" s="1097">
        <f>IF('C-Aterro Sanitário'!$E$7="SIM",'C-Aterro Sanitário'!$E$45,IF('C-Aterro Sanitário'!$I$7="SIM",'C-Aterro Sanitário'!$I$45,IF('C-Aterro Sanitário'!$M$7="SIM",'C-Aterro Sanitário'!$M$45,IF('C-Aterro Sanitário'!$Q$7="SIM",'C-Aterro Sanitário'!$Q$45,IF('C-Aterro Sanitário'!$U$7="SIM",'C-Aterro Sanitário'!$U$45,0)))))</f>
        <v>47.789383913850941</v>
      </c>
      <c r="Q73" s="194"/>
      <c r="R73" s="988"/>
      <c r="S73" s="989"/>
      <c r="T73" s="989"/>
      <c r="U73" s="989"/>
      <c r="V73" s="989"/>
      <c r="W73" s="989"/>
      <c r="X73" s="989"/>
      <c r="Y73" s="989"/>
      <c r="Z73" s="1597"/>
    </row>
    <row r="74" spans="1:26" ht="17.649999999999999"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49.895794571891358</v>
      </c>
      <c r="M74" s="281"/>
      <c r="N74" s="1520" t="s">
        <v>323</v>
      </c>
      <c r="O74" s="278">
        <f>IF(H73&gt;0,((P44*D114+P46*D117))/$D$40,0)</f>
        <v>0</v>
      </c>
      <c r="P74" s="1506">
        <f>IF(O73&gt;0,O73*1000000/$D$40,0)</f>
        <v>19.138248465086267</v>
      </c>
      <c r="Q74" s="194"/>
      <c r="R74" s="988"/>
      <c r="S74" s="989"/>
      <c r="T74" s="989"/>
      <c r="U74" s="989"/>
      <c r="V74" s="989"/>
      <c r="W74" s="989"/>
      <c r="X74" s="989"/>
      <c r="Y74" s="989"/>
      <c r="Z74" s="1597"/>
    </row>
    <row r="75" spans="1:26" ht="17.649999999999999"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360375</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104.82401286447264</v>
      </c>
      <c r="L75" s="1531">
        <f>IF(K73&gt;0,K75*1000000/(H73*20),0)</f>
        <v>8.3894874841822116</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6.6985341159659439</v>
      </c>
      <c r="P75" s="1531">
        <f>IF('C-Aterro Sanitário'!$E$7="SIM",'C-Aterro Sanitário'!$E$48,IF('C-Aterro Sanitário'!$I$7="SIM",'C-Aterro Sanitário'!$I$48,IF('C-Aterro Sanitário'!$M$7="SIM",'C-Aterro Sanitário'!$M$48,IF('C-Aterro Sanitário'!$Q$7="SIM",'C-Aterro Sanitário'!$Q$48,IF('C-Aterro Sanitário'!$U$7="SIM",'C-Aterro Sanitário'!$U$48,0)))))</f>
        <v>37.067171208462241</v>
      </c>
      <c r="Q75" s="194"/>
      <c r="R75" s="988"/>
      <c r="S75" s="989"/>
      <c r="T75" s="989"/>
      <c r="U75" s="989"/>
      <c r="V75" s="989"/>
      <c r="W75" s="989"/>
      <c r="X75" s="989"/>
      <c r="Y75" s="989"/>
      <c r="Z75" s="1597"/>
    </row>
    <row r="76" spans="1:26" ht="17.649999999999999" customHeight="1" outlineLevel="1" x14ac:dyDescent="0.25">
      <c r="A76" s="47"/>
      <c r="B76" s="1520" t="s">
        <v>612</v>
      </c>
      <c r="C76" s="1483" t="s">
        <v>923</v>
      </c>
      <c r="D76" s="2086">
        <v>1.0780000000000001</v>
      </c>
      <c r="E76" s="194"/>
      <c r="F76" s="1465" t="s">
        <v>336</v>
      </c>
      <c r="G76" s="275">
        <f>IF(K78&lt;&gt;0,(G53*K52+G56*K55+G59*K58+G62*K61+G65*K64+G68*K67+G71*K70+G74*K73)/K78,0)</f>
        <v>0.31050313744666402</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customHeight="1" outlineLevel="1" x14ac:dyDescent="0.25">
      <c r="A77" s="34"/>
      <c r="B77" s="1520" t="s">
        <v>613</v>
      </c>
      <c r="C77" s="1483" t="s">
        <v>923</v>
      </c>
      <c r="D77" s="2086">
        <v>7.26</v>
      </c>
      <c r="E77" s="194"/>
      <c r="F77" s="1465" t="s">
        <v>593</v>
      </c>
      <c r="G77" s="263">
        <f>G54+G57+G60+G63+G66+G69+G72</f>
        <v>323520.52082365868</v>
      </c>
      <c r="H77" s="1561"/>
      <c r="I77" s="864"/>
      <c r="J77" s="1552" t="s">
        <v>337</v>
      </c>
      <c r="K77" s="279">
        <f>K54+K57+K60+K63+K66+K69+K72</f>
        <v>13.986065729935131</v>
      </c>
      <c r="L77" s="1521" t="s">
        <v>338</v>
      </c>
      <c r="M77" s="281"/>
      <c r="N77" s="1520"/>
      <c r="O77" s="1481"/>
      <c r="P77" s="1538"/>
      <c r="Q77" s="194"/>
      <c r="R77" s="988"/>
      <c r="S77" s="989"/>
      <c r="T77" s="989"/>
      <c r="U77" s="989"/>
      <c r="V77" s="989"/>
      <c r="W77" s="989"/>
      <c r="X77" s="989"/>
      <c r="Y77" s="989"/>
      <c r="Z77" s="1597"/>
    </row>
    <row r="78" spans="1:26" ht="17.649999999999999" customHeight="1" outlineLevel="1" thickBot="1" x14ac:dyDescent="0.3">
      <c r="A78" s="34"/>
      <c r="B78" s="2082" t="s">
        <v>1118</v>
      </c>
      <c r="C78" s="869" t="s">
        <v>1117</v>
      </c>
      <c r="D78" s="2087">
        <v>2.2000000000000002</v>
      </c>
      <c r="E78" s="194"/>
      <c r="F78" s="2279" t="s">
        <v>615</v>
      </c>
      <c r="G78" s="2280"/>
      <c r="H78" s="1541">
        <f>'R-Resumo Bal. Massa'!D16*312</f>
        <v>1560000</v>
      </c>
      <c r="I78" s="679"/>
      <c r="J78" s="1539" t="s">
        <v>339</v>
      </c>
      <c r="K78" s="1540">
        <f>K52+K55+K58+K61+K64+K67+K70+K73</f>
        <v>964.87689916205625</v>
      </c>
      <c r="L78" s="1541">
        <f>K78*1000000/H78</f>
        <v>618.5108327961899</v>
      </c>
      <c r="M78" s="280"/>
      <c r="N78" s="1539" t="s">
        <v>597</v>
      </c>
      <c r="O78" s="1540">
        <f>O52+O55+O58+O61+O64+O67+O70+O73</f>
        <v>63.272243595997509</v>
      </c>
      <c r="P78" s="1541">
        <f>O78*1000000/H78</f>
        <v>40.559130510254818</v>
      </c>
      <c r="Q78" s="194"/>
      <c r="R78" s="988"/>
      <c r="S78" s="989"/>
      <c r="T78" s="989"/>
      <c r="U78" s="989"/>
      <c r="V78" s="989"/>
      <c r="W78" s="989"/>
      <c r="X78" s="989"/>
      <c r="Y78" s="989"/>
      <c r="Z78" s="1597"/>
    </row>
    <row r="79" spans="1:26" ht="15"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Top="1" thickBot="1" x14ac:dyDescent="0.3">
      <c r="A80" s="41"/>
      <c r="B80" s="148"/>
      <c r="C80" s="261"/>
      <c r="D80" s="261"/>
      <c r="E80" s="725"/>
      <c r="Q80" s="41"/>
      <c r="R80" s="1004"/>
      <c r="S80" s="1005"/>
      <c r="T80" s="1005"/>
      <c r="U80" s="1005"/>
      <c r="V80" s="1005"/>
      <c r="W80" s="1005"/>
      <c r="X80" s="1005"/>
      <c r="Y80" s="1005"/>
      <c r="Z80" s="1603"/>
    </row>
    <row r="81" spans="1:26" ht="17.649999999999999" customHeight="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customHeight="1" outlineLevel="1" x14ac:dyDescent="0.25">
      <c r="A82" s="36"/>
      <c r="B82" s="1520" t="s">
        <v>616</v>
      </c>
      <c r="C82" s="516" t="s">
        <v>342</v>
      </c>
      <c r="D82" s="1571">
        <v>498</v>
      </c>
      <c r="E82" s="504"/>
      <c r="F82" s="1520" t="s">
        <v>717</v>
      </c>
      <c r="G82" s="1482" t="s">
        <v>292</v>
      </c>
      <c r="H82" s="1543">
        <f>((L36)*D101+(L37)*D102+(L38)*D103+(L39)*D104+(L40+L42)*D105+(L41+L43)*D106)/1000000</f>
        <v>79.860734192048852</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649999999999999" customHeight="1" outlineLevel="1" x14ac:dyDescent="0.25">
      <c r="A83" s="36"/>
      <c r="B83" s="1520" t="s">
        <v>617</v>
      </c>
      <c r="C83" s="516" t="s">
        <v>342</v>
      </c>
      <c r="D83" s="1571">
        <v>0</v>
      </c>
      <c r="E83" s="504"/>
      <c r="F83" s="1520" t="s">
        <v>620</v>
      </c>
      <c r="G83" s="1482" t="s">
        <v>292</v>
      </c>
      <c r="H83" s="1543">
        <f>((L44+L45)*D112+(L46+L47)*D111)/1000000</f>
        <v>30.367967012616869</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649999999999999" customHeight="1" outlineLevel="1" x14ac:dyDescent="0.25">
      <c r="A84" s="36"/>
      <c r="B84" s="1520" t="s">
        <v>618</v>
      </c>
      <c r="C84" s="516" t="s">
        <v>342</v>
      </c>
      <c r="D84" s="1571">
        <v>42.8</v>
      </c>
      <c r="E84" s="504"/>
      <c r="F84" s="1520" t="s">
        <v>718</v>
      </c>
      <c r="G84" s="1482" t="s">
        <v>292</v>
      </c>
      <c r="H84" s="1543">
        <f>(L48*D108+L49*D109)/1000000</f>
        <v>0</v>
      </c>
      <c r="I84" s="151"/>
      <c r="J84" s="1520" t="s">
        <v>627</v>
      </c>
      <c r="K84" s="1482" t="s">
        <v>292</v>
      </c>
      <c r="L84" s="1543">
        <f>D84*D43/1000000</f>
        <v>66.767999999999986</v>
      </c>
      <c r="M84" s="504"/>
      <c r="N84" s="1520" t="s">
        <v>719</v>
      </c>
      <c r="O84" s="516" t="s">
        <v>345</v>
      </c>
      <c r="P84" s="1581">
        <f>IF(O52&lt;&gt;0,O52*1000000/(SUM(P36:P41)),0)</f>
        <v>0</v>
      </c>
      <c r="Q84" s="504"/>
      <c r="R84" s="1006"/>
      <c r="S84" s="989"/>
      <c r="T84" s="989"/>
      <c r="U84" s="989"/>
      <c r="V84" s="989"/>
      <c r="W84" s="989"/>
      <c r="X84" s="989"/>
      <c r="Y84" s="989"/>
      <c r="Z84" s="1597"/>
    </row>
    <row r="85" spans="1:26" ht="17.649999999999999"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0</v>
      </c>
      <c r="Q85" s="504"/>
      <c r="R85" s="1006"/>
      <c r="S85" s="989"/>
      <c r="T85" s="989"/>
      <c r="U85" s="989"/>
      <c r="V85" s="989"/>
      <c r="W85" s="989"/>
      <c r="X85" s="989"/>
      <c r="Y85" s="989"/>
      <c r="Z85" s="1597"/>
    </row>
    <row r="86" spans="1:26" ht="17.649999999999999" customHeight="1" outlineLevel="1" x14ac:dyDescent="0.25">
      <c r="A86" s="36"/>
      <c r="B86" s="1520"/>
      <c r="C86" s="1722"/>
      <c r="D86" s="1572"/>
      <c r="E86" s="504"/>
      <c r="F86" s="1520" t="s">
        <v>622</v>
      </c>
      <c r="G86" s="1482" t="s">
        <v>292</v>
      </c>
      <c r="H86" s="1543">
        <f>P42*D114/1000000</f>
        <v>46.350350671987044</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649999999999999" customHeight="1" outlineLevel="1" x14ac:dyDescent="0.25">
      <c r="A88" s="36"/>
      <c r="B88" s="1520" t="s">
        <v>940</v>
      </c>
      <c r="C88" s="1722" t="s">
        <v>342</v>
      </c>
      <c r="D88" s="1567">
        <v>50</v>
      </c>
      <c r="E88" s="504"/>
      <c r="F88" s="1520" t="s">
        <v>820</v>
      </c>
      <c r="G88" s="1482" t="s">
        <v>292</v>
      </c>
      <c r="H88" s="1543">
        <f>P45*D117/1000000</f>
        <v>34.76276300399028</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customHeight="1" outlineLevel="1" thickTop="1" x14ac:dyDescent="0.25">
      <c r="A91" s="36"/>
      <c r="B91" s="1520"/>
      <c r="C91" s="1722"/>
      <c r="D91" s="1572"/>
      <c r="E91" s="504"/>
      <c r="F91" s="1555" t="s">
        <v>826</v>
      </c>
      <c r="G91" s="266" t="s">
        <v>292</v>
      </c>
      <c r="H91" s="1546">
        <f>SUM(H82:H89)</f>
        <v>191.34181488064306</v>
      </c>
      <c r="I91" s="269"/>
      <c r="J91" s="1545" t="s">
        <v>561</v>
      </c>
      <c r="K91" s="266" t="s">
        <v>292</v>
      </c>
      <c r="L91" s="1546">
        <f>SUM(L82:L85)</f>
        <v>66.767999999999986</v>
      </c>
      <c r="M91" s="504"/>
      <c r="N91" s="269"/>
      <c r="O91" s="504"/>
      <c r="P91" s="504"/>
      <c r="Q91" s="504"/>
      <c r="R91" s="1006"/>
      <c r="S91" s="989"/>
      <c r="T91" s="989"/>
      <c r="U91" s="989"/>
      <c r="V91" s="989"/>
      <c r="W91" s="989"/>
      <c r="X91" s="989"/>
      <c r="Y91" s="989"/>
      <c r="Z91" s="1597"/>
    </row>
    <row r="92" spans="1:26" ht="17.649999999999999" customHeight="1" outlineLevel="1" x14ac:dyDescent="0.25">
      <c r="A92" s="36"/>
      <c r="B92" s="1520"/>
      <c r="C92" s="1722"/>
      <c r="D92" s="1572"/>
      <c r="E92" s="504"/>
      <c r="F92" s="1505" t="s">
        <v>347</v>
      </c>
      <c r="G92" s="1482" t="s">
        <v>342</v>
      </c>
      <c r="H92" s="1531">
        <f>H91*1000000/D40</f>
        <v>122.65500953887376</v>
      </c>
      <c r="I92" s="151"/>
      <c r="J92" s="1520" t="s">
        <v>629</v>
      </c>
      <c r="K92" s="1482" t="s">
        <v>342</v>
      </c>
      <c r="L92" s="1531">
        <f>L91*1000000/D40</f>
        <v>42.79999999999999</v>
      </c>
      <c r="M92" s="504"/>
      <c r="N92" s="504"/>
      <c r="O92" s="504"/>
      <c r="P92" s="504"/>
      <c r="Q92" s="504"/>
      <c r="R92" s="1006"/>
      <c r="S92" s="989"/>
      <c r="T92" s="989"/>
      <c r="U92" s="989"/>
      <c r="V92" s="989"/>
      <c r="W92" s="989"/>
      <c r="X92" s="989"/>
      <c r="Y92" s="989"/>
      <c r="Z92" s="1597"/>
    </row>
    <row r="93" spans="1:26" ht="15" customHeight="1" outlineLevel="1" thickBot="1" x14ac:dyDescent="0.3">
      <c r="A93" s="36"/>
      <c r="B93" s="1522"/>
      <c r="C93" s="1508"/>
      <c r="D93" s="2000"/>
      <c r="E93" s="504"/>
      <c r="F93" s="1507" t="s">
        <v>822</v>
      </c>
      <c r="G93" s="1508" t="s">
        <v>929</v>
      </c>
      <c r="H93" s="1547">
        <f>H92*($D$7*30/$D$6)</f>
        <v>44.699673298957627</v>
      </c>
      <c r="I93" s="151"/>
      <c r="J93" s="1522" t="s">
        <v>823</v>
      </c>
      <c r="K93" s="1508" t="s">
        <v>299</v>
      </c>
      <c r="L93" s="1547">
        <f>L92*($D$7*30/$D$6)</f>
        <v>15.597781324936767</v>
      </c>
      <c r="M93" s="504"/>
      <c r="N93" s="504"/>
      <c r="O93" s="504"/>
      <c r="P93" s="504"/>
      <c r="Q93" s="504"/>
      <c r="R93" s="1006"/>
      <c r="S93" s="989"/>
      <c r="T93" s="989"/>
      <c r="U93" s="989"/>
      <c r="V93" s="989"/>
      <c r="W93" s="989"/>
      <c r="X93" s="989"/>
      <c r="Y93" s="989"/>
      <c r="Z93" s="1597"/>
    </row>
    <row r="94" spans="1:26" s="862" customFormat="1" ht="19.899999999999999"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customHeight="1" outlineLevel="1" thickTop="1" thickBot="1" x14ac:dyDescent="0.3">
      <c r="A95" s="41"/>
      <c r="B95" s="2272" t="s">
        <v>886</v>
      </c>
      <c r="C95" s="2273"/>
      <c r="D95" s="2273"/>
      <c r="E95" s="2273"/>
      <c r="F95" s="2273"/>
      <c r="G95" s="2273"/>
      <c r="H95" s="2273"/>
      <c r="I95" s="2273"/>
      <c r="J95" s="2273"/>
      <c r="K95" s="2273"/>
      <c r="L95" s="2274"/>
      <c r="M95" s="41"/>
      <c r="N95" s="41"/>
      <c r="O95" s="41"/>
      <c r="P95" s="41"/>
      <c r="Q95" s="41"/>
      <c r="R95" s="2088"/>
      <c r="S95" s="2089"/>
      <c r="T95" s="2089"/>
      <c r="U95" s="2089"/>
      <c r="V95" s="2089"/>
      <c r="W95" s="2089"/>
      <c r="X95" s="2089"/>
      <c r="Y95" s="2089"/>
      <c r="Z95" s="2090"/>
    </row>
    <row r="96" spans="1:26" s="1717" customFormat="1" ht="10.15"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customHeight="1" outlineLevel="1" x14ac:dyDescent="0.25">
      <c r="A98" s="36"/>
      <c r="B98" s="1465" t="s">
        <v>1018</v>
      </c>
      <c r="C98" s="265" t="s">
        <v>308</v>
      </c>
      <c r="D98" s="1529" t="s">
        <v>6</v>
      </c>
      <c r="E98" s="504"/>
      <c r="F98" s="1465" t="s">
        <v>624</v>
      </c>
      <c r="G98" s="226" t="s">
        <v>292</v>
      </c>
      <c r="H98" s="1573">
        <f>O78+H9</f>
        <v>93.473161095997511</v>
      </c>
      <c r="I98" s="151"/>
      <c r="J98" s="1465" t="s">
        <v>632</v>
      </c>
      <c r="K98" s="226" t="s">
        <v>292</v>
      </c>
      <c r="L98" s="1573">
        <f>H98+L91</f>
        <v>160.24116109599748</v>
      </c>
      <c r="M98" s="504"/>
      <c r="N98" s="504"/>
      <c r="O98" s="504"/>
      <c r="P98" s="504"/>
      <c r="Q98" s="504"/>
      <c r="R98" s="1006"/>
      <c r="S98" s="989"/>
      <c r="T98" s="989"/>
      <c r="U98" s="989"/>
      <c r="V98" s="989"/>
      <c r="W98" s="989"/>
      <c r="X98" s="989"/>
      <c r="Y98" s="989"/>
      <c r="Z98" s="1597"/>
    </row>
    <row r="99" spans="1:26" ht="17.649999999999999" customHeight="1" outlineLevel="1" thickBot="1" x14ac:dyDescent="0.3">
      <c r="A99" s="36"/>
      <c r="B99" s="1520" t="s">
        <v>1019</v>
      </c>
      <c r="C99" s="1722" t="s">
        <v>195</v>
      </c>
      <c r="D99" s="1781">
        <v>1</v>
      </c>
      <c r="E99" s="504"/>
      <c r="F99" s="1520" t="s">
        <v>624</v>
      </c>
      <c r="G99" s="1482" t="s">
        <v>342</v>
      </c>
      <c r="H99" s="1579">
        <f>H98*1000000/D40</f>
        <v>59.918693010254813</v>
      </c>
      <c r="I99" s="151"/>
      <c r="J99" s="1520" t="s">
        <v>633</v>
      </c>
      <c r="K99" s="1482" t="s">
        <v>342</v>
      </c>
      <c r="L99" s="1579">
        <f>L98*1000000/D40</f>
        <v>102.7186930102548</v>
      </c>
      <c r="M99" s="504"/>
      <c r="N99" s="504"/>
      <c r="O99" s="504"/>
      <c r="P99" s="504"/>
      <c r="Q99" s="504"/>
      <c r="R99" s="1006"/>
      <c r="S99" s="989"/>
      <c r="T99" s="989"/>
      <c r="U99" s="989"/>
      <c r="V99" s="989"/>
      <c r="W99" s="989"/>
      <c r="X99" s="989"/>
      <c r="Y99" s="989"/>
      <c r="Z99" s="1597"/>
    </row>
    <row r="100" spans="1:26" ht="17.649999999999999" customHeight="1" outlineLevel="1" thickTop="1" thickBot="1" x14ac:dyDescent="0.3">
      <c r="A100" s="36"/>
      <c r="B100" s="1520" t="s">
        <v>1059</v>
      </c>
      <c r="C100" s="1728" t="s">
        <v>195</v>
      </c>
      <c r="D100" s="1530">
        <v>0.25</v>
      </c>
      <c r="E100" s="504"/>
      <c r="F100" s="1522" t="s">
        <v>824</v>
      </c>
      <c r="G100" s="1508" t="s">
        <v>929</v>
      </c>
      <c r="H100" s="1580">
        <f>H99*($D$7*30/$D$6)</f>
        <v>21.836417543223643</v>
      </c>
      <c r="I100" s="151"/>
      <c r="J100" s="1522" t="s">
        <v>825</v>
      </c>
      <c r="K100" s="1508" t="s">
        <v>299</v>
      </c>
      <c r="L100" s="1580">
        <f>L99*($D$7*30/$D$6)</f>
        <v>37.434198868160408</v>
      </c>
      <c r="M100" s="504"/>
      <c r="N100" s="504"/>
      <c r="O100" s="504"/>
      <c r="P100" s="504"/>
      <c r="Q100" s="504"/>
      <c r="R100" s="1006"/>
      <c r="S100" s="989"/>
      <c r="T100" s="989"/>
      <c r="U100" s="989"/>
      <c r="V100" s="989"/>
      <c r="W100" s="989"/>
      <c r="X100" s="989"/>
      <c r="Y100" s="989"/>
      <c r="Z100" s="1597"/>
    </row>
    <row r="101" spans="1:26" ht="17.649999999999999"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customHeight="1" outlineLevel="1" x14ac:dyDescent="0.25">
      <c r="B117" s="1520" t="s">
        <v>1057</v>
      </c>
      <c r="C117" s="1482" t="s">
        <v>346</v>
      </c>
      <c r="D117" s="1565">
        <v>1.5</v>
      </c>
    </row>
    <row r="118" spans="1:26" ht="15" customHeight="1" outlineLevel="1" thickBot="1" x14ac:dyDescent="0.3">
      <c r="B118" s="1522" t="s">
        <v>1058</v>
      </c>
      <c r="C118" s="1508" t="s">
        <v>346</v>
      </c>
      <c r="D118" s="1570">
        <v>1.5</v>
      </c>
    </row>
    <row r="119" spans="1:26" ht="15"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341" t="s">
        <v>971</v>
      </c>
      <c r="C2" s="2341"/>
      <c r="D2" s="2341"/>
      <c r="E2" s="2341"/>
      <c r="F2" s="2341"/>
      <c r="G2" s="2341"/>
      <c r="H2" s="2341"/>
      <c r="I2" s="2341"/>
      <c r="J2" s="2341"/>
      <c r="K2" s="2341"/>
      <c r="L2" s="2341"/>
      <c r="M2" s="2341"/>
      <c r="N2" s="458"/>
      <c r="O2" s="2340" t="s">
        <v>644</v>
      </c>
      <c r="P2" s="2340"/>
      <c r="Q2" s="2340"/>
      <c r="R2" s="2340"/>
      <c r="S2" s="2340"/>
      <c r="T2" s="2340"/>
      <c r="U2" s="2340"/>
      <c r="V2" s="2340"/>
      <c r="W2" s="2340"/>
      <c r="X2" s="2340"/>
      <c r="Y2" s="2340"/>
      <c r="Z2" s="2340"/>
      <c r="AA2" s="2340"/>
      <c r="AB2" s="473"/>
    </row>
    <row r="3" spans="1:28" s="905" customFormat="1" ht="17.649999999999999" customHeight="1" x14ac:dyDescent="0.25">
      <c r="A3" s="903"/>
      <c r="B3" s="2341"/>
      <c r="C3" s="2341"/>
      <c r="D3" s="2341"/>
      <c r="E3" s="2341"/>
      <c r="F3" s="2341"/>
      <c r="G3" s="2341"/>
      <c r="H3" s="2341"/>
      <c r="I3" s="2341"/>
      <c r="J3" s="2341"/>
      <c r="K3" s="2341"/>
      <c r="L3" s="2341"/>
      <c r="M3" s="2341"/>
      <c r="N3" s="904"/>
      <c r="O3" s="2340"/>
      <c r="P3" s="2340"/>
      <c r="Q3" s="2340"/>
      <c r="R3" s="2340"/>
      <c r="S3" s="2340"/>
      <c r="T3" s="2340"/>
      <c r="U3" s="2340"/>
      <c r="V3" s="2340"/>
      <c r="W3" s="2340"/>
      <c r="X3" s="2340"/>
      <c r="Y3" s="2340"/>
      <c r="Z3" s="2340"/>
      <c r="AA3" s="2340"/>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thickTop="1" x14ac:dyDescent="0.25">
      <c r="A5" s="458"/>
      <c r="B5" s="1501" t="s">
        <v>951</v>
      </c>
      <c r="C5" s="1502" t="s">
        <v>348</v>
      </c>
      <c r="D5" s="1503" t="s">
        <v>289</v>
      </c>
      <c r="E5" s="458"/>
      <c r="F5" s="1514" t="s">
        <v>952</v>
      </c>
      <c r="G5" s="1502" t="s">
        <v>349</v>
      </c>
      <c r="H5" s="1503" t="s">
        <v>350</v>
      </c>
      <c r="I5" s="458"/>
      <c r="J5" s="2322" t="s">
        <v>351</v>
      </c>
      <c r="K5" s="2320" t="s">
        <v>352</v>
      </c>
      <c r="L5" s="458"/>
      <c r="M5" s="459"/>
      <c r="N5" s="458"/>
      <c r="O5" s="2348" t="s">
        <v>877</v>
      </c>
      <c r="P5" s="458"/>
      <c r="Q5" s="2348" t="s">
        <v>878</v>
      </c>
      <c r="R5" s="458"/>
      <c r="S5" s="2348" t="s">
        <v>879</v>
      </c>
      <c r="T5" s="458"/>
      <c r="U5" s="2348" t="s">
        <v>880</v>
      </c>
      <c r="V5" s="458"/>
      <c r="W5" s="2348" t="s">
        <v>881</v>
      </c>
      <c r="X5" s="458"/>
      <c r="Y5" s="2348" t="s">
        <v>887</v>
      </c>
      <c r="Z5" s="458"/>
      <c r="AA5" s="458"/>
      <c r="AB5" s="473"/>
    </row>
    <row r="6" spans="1:28" s="262" customFormat="1" ht="19.899999999999999" customHeight="1" outlineLevel="1" x14ac:dyDescent="0.25">
      <c r="A6" s="458"/>
      <c r="B6" s="1685" t="s">
        <v>645</v>
      </c>
      <c r="C6" s="1646" t="s">
        <v>292</v>
      </c>
      <c r="D6" s="1661">
        <f>D7*D8/1000000</f>
        <v>490.87344603475174</v>
      </c>
      <c r="E6" s="463"/>
      <c r="F6" s="1681" t="s">
        <v>973</v>
      </c>
      <c r="G6" s="1633">
        <f>J7*(1-K7)</f>
        <v>109759.20000000001</v>
      </c>
      <c r="H6" s="1675">
        <f>G6/$G$11</f>
        <v>0.66654521075030615</v>
      </c>
      <c r="I6" s="458"/>
      <c r="J6" s="2323"/>
      <c r="K6" s="2321"/>
      <c r="L6" s="458"/>
      <c r="M6" s="468"/>
      <c r="N6" s="460"/>
      <c r="O6" s="2349"/>
      <c r="P6" s="458"/>
      <c r="Q6" s="2349"/>
      <c r="R6" s="458"/>
      <c r="S6" s="2349"/>
      <c r="T6" s="458"/>
      <c r="U6" s="2349"/>
      <c r="V6" s="458"/>
      <c r="W6" s="2349"/>
      <c r="X6" s="458"/>
      <c r="Y6" s="2349"/>
      <c r="Z6" s="458"/>
      <c r="AA6" s="458"/>
      <c r="AB6" s="473"/>
    </row>
    <row r="7" spans="1:28" s="262" customFormat="1" ht="19.899999999999999" customHeight="1" outlineLevel="1" x14ac:dyDescent="0.25">
      <c r="A7" s="458"/>
      <c r="B7" s="1681" t="s">
        <v>646</v>
      </c>
      <c r="C7" s="1644" t="s">
        <v>342</v>
      </c>
      <c r="D7" s="1662">
        <f>'R&amp;C-Painel de Controle'!H33</f>
        <v>314.66246540689212</v>
      </c>
      <c r="E7" s="463"/>
      <c r="F7" s="1681" t="s">
        <v>974</v>
      </c>
      <c r="G7" s="1633">
        <f>J7*K7</f>
        <v>27439.800000000003</v>
      </c>
      <c r="H7" s="1675">
        <f>G7/$G$11</f>
        <v>0.16663630268757654</v>
      </c>
      <c r="I7" s="458"/>
      <c r="J7" s="2352">
        <f>'R&amp;C-Painel de Controle'!D6/3</f>
        <v>137199</v>
      </c>
      <c r="K7" s="2350">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customHeight="1" outlineLevel="1" thickBot="1" x14ac:dyDescent="0.3">
      <c r="A8" s="458"/>
      <c r="B8" s="1681" t="s">
        <v>647</v>
      </c>
      <c r="C8" s="1644" t="s">
        <v>298</v>
      </c>
      <c r="D8" s="1662">
        <f>'R&amp;C-Painel de Controle'!D8</f>
        <v>1560000</v>
      </c>
      <c r="E8" s="463"/>
      <c r="F8" s="1681" t="s">
        <v>975</v>
      </c>
      <c r="G8" s="1676">
        <f>J7/5</f>
        <v>27439.8</v>
      </c>
      <c r="H8" s="1675">
        <f>G8/$G$11</f>
        <v>0.16663630268757654</v>
      </c>
      <c r="I8" s="458"/>
      <c r="J8" s="2353"/>
      <c r="K8" s="2351"/>
      <c r="L8" s="458"/>
      <c r="M8" s="468"/>
      <c r="N8" s="460"/>
      <c r="O8" s="1500">
        <f>(O12-O10)/O10</f>
        <v>1.2145591636766743E-6</v>
      </c>
      <c r="P8" s="460"/>
      <c r="Q8" s="1500">
        <f>(Q12-Q10)/Q10</f>
        <v>-5.832704039866749E-3</v>
      </c>
      <c r="R8" s="460"/>
      <c r="S8" s="1500">
        <f>(S12-S10)/S10</f>
        <v>-5.8327040398665044E-3</v>
      </c>
      <c r="T8" s="458"/>
      <c r="U8" s="1500">
        <f>(U12-U10)/U10</f>
        <v>2.2914268472023186E-2</v>
      </c>
      <c r="V8" s="458"/>
      <c r="W8" s="1500">
        <f>(W12-W10)/W10</f>
        <v>2.2914268472023186E-2</v>
      </c>
      <c r="X8" s="458"/>
      <c r="Y8" s="1628" t="s">
        <v>338</v>
      </c>
      <c r="Z8" s="458"/>
      <c r="AA8" s="458"/>
      <c r="AB8" s="473"/>
    </row>
    <row r="9" spans="1:28" s="262" customFormat="1" ht="19.899999999999999"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533.58557175785052</v>
      </c>
      <c r="R10" s="460"/>
      <c r="S10" s="265">
        <f>D8</f>
        <v>1560000</v>
      </c>
      <c r="T10" s="458"/>
      <c r="U10" s="265">
        <f>D10*(1+D24)</f>
        <v>22967112.600000001</v>
      </c>
      <c r="V10" s="458"/>
      <c r="W10" s="265">
        <f>D10*(1+D24)</f>
        <v>22967112.600000001</v>
      </c>
      <c r="X10" s="458"/>
      <c r="Y10" s="1499">
        <f>Y7</f>
        <v>0.05</v>
      </c>
      <c r="Z10" s="458"/>
      <c r="AA10" s="458"/>
      <c r="AB10" s="473"/>
    </row>
    <row r="11" spans="1:28" s="262" customFormat="1" ht="19.899999999999999" customHeight="1" outlineLevel="1" thickBot="1" x14ac:dyDescent="0.3">
      <c r="A11" s="458"/>
      <c r="B11" s="1683" t="s">
        <v>721</v>
      </c>
      <c r="C11" s="1664" t="s">
        <v>357</v>
      </c>
      <c r="D11" s="1665">
        <f>D10/D8</f>
        <v>14.722508076923077</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customHeight="1" outlineLevel="1" thickTop="1" thickBot="1" x14ac:dyDescent="0.3">
      <c r="A12" s="458"/>
      <c r="B12" s="1686" t="s">
        <v>946</v>
      </c>
      <c r="C12" s="1666" t="s">
        <v>327</v>
      </c>
      <c r="D12" s="1667">
        <f>D7/D11</f>
        <v>21.372884549481928</v>
      </c>
      <c r="E12" s="458"/>
      <c r="F12" s="458"/>
      <c r="G12" s="458"/>
      <c r="H12" s="459"/>
      <c r="I12" s="458"/>
      <c r="J12" s="459"/>
      <c r="K12" s="459"/>
      <c r="L12" s="459"/>
      <c r="M12" s="459"/>
      <c r="N12" s="458"/>
      <c r="O12" s="265">
        <f>O33</f>
        <v>164669</v>
      </c>
      <c r="P12" s="460"/>
      <c r="Q12" s="276">
        <f>Q33</f>
        <v>530.47332503784389</v>
      </c>
      <c r="R12" s="460"/>
      <c r="S12" s="265">
        <f>S33*(1+$D$17+$D$18+$D$19)</f>
        <v>1550900.9816978083</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5"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customHeight="1" outlineLevel="1" x14ac:dyDescent="0.25">
      <c r="A15" s="458"/>
      <c r="B15" s="1687" t="s">
        <v>649</v>
      </c>
      <c r="C15" s="1646" t="s">
        <v>195</v>
      </c>
      <c r="D15" s="1668">
        <v>1</v>
      </c>
      <c r="E15" s="458"/>
      <c r="F15" s="2342" t="s">
        <v>978</v>
      </c>
      <c r="G15" s="2344" t="s">
        <v>195</v>
      </c>
      <c r="H15" s="2346">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customHeight="1" outlineLevel="1" thickBot="1" x14ac:dyDescent="0.3">
      <c r="A16" s="458"/>
      <c r="B16" s="1688" t="s">
        <v>981</v>
      </c>
      <c r="C16" s="1644" t="s">
        <v>292</v>
      </c>
      <c r="D16" s="1669">
        <f>D10*D12*(1-D15)/1000000</f>
        <v>0</v>
      </c>
      <c r="E16" s="458"/>
      <c r="F16" s="2343"/>
      <c r="G16" s="2345"/>
      <c r="H16" s="2347"/>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customHeight="1" outlineLevel="1" x14ac:dyDescent="0.25">
      <c r="A20" s="458"/>
      <c r="B20" s="1687" t="s">
        <v>948</v>
      </c>
      <c r="C20" s="1646" t="s">
        <v>292</v>
      </c>
      <c r="D20" s="1673">
        <f>D10*D12*(1+D17)*(1+D18)*(1+D19)*D15/1000000</f>
        <v>533.58557175785052</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customHeight="1" outlineLevel="1" thickBot="1" x14ac:dyDescent="0.3">
      <c r="A21" s="458"/>
      <c r="B21" s="1684" t="s">
        <v>947</v>
      </c>
      <c r="C21" s="1666" t="s">
        <v>327</v>
      </c>
      <c r="D21" s="1667">
        <f>D20*1000000/D10</f>
        <v>23.232592666343724</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customHeight="1" outlineLevel="1" thickTop="1" x14ac:dyDescent="0.25">
      <c r="A23" s="458"/>
      <c r="B23" s="1509" t="s">
        <v>950</v>
      </c>
      <c r="C23" s="1510" t="s">
        <v>348</v>
      </c>
      <c r="D23" s="1511" t="s">
        <v>289</v>
      </c>
      <c r="E23" s="458"/>
      <c r="F23" s="2317" t="s">
        <v>941</v>
      </c>
      <c r="G23" s="2318"/>
      <c r="H23" s="2319"/>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customHeight="1" outlineLevel="1" x14ac:dyDescent="0.25">
      <c r="A24" s="458"/>
      <c r="B24" s="1687" t="s">
        <v>949</v>
      </c>
      <c r="C24" s="1646" t="s">
        <v>195</v>
      </c>
      <c r="D24" s="1674">
        <v>0</v>
      </c>
      <c r="E24" s="458"/>
      <c r="F24" s="1683" t="s">
        <v>979</v>
      </c>
      <c r="G24" s="1644" t="s">
        <v>358</v>
      </c>
      <c r="H24" s="1679">
        <f>D26*(D10)/G11</f>
        <v>3240.356228732162</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customHeight="1" outlineLevel="1" thickBot="1" x14ac:dyDescent="0.3">
      <c r="A25" s="458"/>
      <c r="B25" s="1683" t="s">
        <v>982</v>
      </c>
      <c r="C25" s="1644" t="s">
        <v>292</v>
      </c>
      <c r="D25" s="1669">
        <f>D20</f>
        <v>533.58557175785052</v>
      </c>
      <c r="E25" s="458"/>
      <c r="F25" s="1684" t="s">
        <v>980</v>
      </c>
      <c r="G25" s="1666" t="s">
        <v>359</v>
      </c>
      <c r="H25" s="1680">
        <f>H24/12</f>
        <v>270.02968572768015</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customHeight="1" outlineLevel="1" thickTop="1" thickBot="1" x14ac:dyDescent="0.3">
      <c r="A26" s="458"/>
      <c r="B26" s="1684" t="s">
        <v>983</v>
      </c>
      <c r="C26" s="1666" t="s">
        <v>327</v>
      </c>
      <c r="D26" s="1667">
        <f>(D25*1000000/(D8*D11))*(1-D24)</f>
        <v>23.232592666343724</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thickTop="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33" t="s">
        <v>964</v>
      </c>
      <c r="C29" s="2334"/>
      <c r="D29" s="2334"/>
      <c r="E29" s="2335"/>
      <c r="F29" s="458"/>
      <c r="G29" s="458"/>
      <c r="H29" s="459"/>
      <c r="I29" s="458"/>
      <c r="J29" s="459"/>
      <c r="K29" s="2330" t="s">
        <v>360</v>
      </c>
      <c r="L29" s="2331"/>
      <c r="M29" s="2332"/>
      <c r="N29" s="458"/>
      <c r="O29" s="2336" t="s">
        <v>763</v>
      </c>
      <c r="P29" s="2337"/>
      <c r="Q29" s="2337"/>
      <c r="R29" s="2337"/>
      <c r="S29" s="2337"/>
      <c r="T29" s="2337"/>
      <c r="U29" s="2337"/>
      <c r="V29" s="2337"/>
      <c r="W29" s="2337"/>
      <c r="X29" s="2337"/>
      <c r="Y29" s="2337"/>
      <c r="Z29" s="2337"/>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26" t="s">
        <v>965</v>
      </c>
      <c r="C31" s="2327"/>
      <c r="D31" s="2327"/>
      <c r="E31" s="2327"/>
      <c r="F31" s="2327"/>
      <c r="G31" s="2327"/>
      <c r="H31" s="2327"/>
      <c r="I31" s="2327"/>
      <c r="J31" s="2327"/>
      <c r="K31" s="2327"/>
      <c r="L31" s="1634" t="s">
        <v>361</v>
      </c>
      <c r="M31" s="1634" t="s">
        <v>362</v>
      </c>
      <c r="N31" s="458"/>
      <c r="O31" s="2287" t="s">
        <v>650</v>
      </c>
      <c r="P31" s="458"/>
      <c r="Q31" s="2287" t="s">
        <v>363</v>
      </c>
      <c r="R31" s="458"/>
      <c r="S31" s="2287" t="s">
        <v>651</v>
      </c>
      <c r="T31" s="458"/>
      <c r="U31" s="2287" t="s">
        <v>652</v>
      </c>
      <c r="V31" s="458"/>
      <c r="W31" s="2287" t="s">
        <v>652</v>
      </c>
      <c r="X31" s="458"/>
      <c r="Y31" s="2287" t="s">
        <v>463</v>
      </c>
      <c r="Z31" s="458"/>
      <c r="AA31" s="458"/>
      <c r="AB31" s="473"/>
    </row>
    <row r="32" spans="1:28" s="262" customFormat="1" ht="19.899999999999999" customHeight="1" x14ac:dyDescent="0.25">
      <c r="A32" s="458"/>
      <c r="B32" s="2328"/>
      <c r="C32" s="2327"/>
      <c r="D32" s="2327"/>
      <c r="E32" s="2327"/>
      <c r="F32" s="2327"/>
      <c r="G32" s="2327"/>
      <c r="H32" s="2327"/>
      <c r="I32" s="2327"/>
      <c r="J32" s="2327"/>
      <c r="K32" s="2327"/>
      <c r="L32" s="1635">
        <f>H24</f>
        <v>3240.356228732162</v>
      </c>
      <c r="M32" s="1636">
        <f>H25</f>
        <v>270.02968572768015</v>
      </c>
      <c r="N32" s="461"/>
      <c r="O32" s="2191"/>
      <c r="P32" s="461"/>
      <c r="Q32" s="2191"/>
      <c r="R32" s="461"/>
      <c r="S32" s="2191"/>
      <c r="T32" s="458"/>
      <c r="U32" s="2191"/>
      <c r="V32" s="458"/>
      <c r="W32" s="2191"/>
      <c r="X32" s="458"/>
      <c r="Y32" s="2329"/>
      <c r="Z32" s="458"/>
      <c r="AA32" s="458"/>
      <c r="AB32" s="473"/>
    </row>
    <row r="33" spans="1:28" s="262" customFormat="1" ht="15" customHeight="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530.47332503784389</v>
      </c>
      <c r="R33" s="458"/>
      <c r="S33" s="265">
        <f>12*S34</f>
        <v>1429401.8264495928</v>
      </c>
      <c r="T33" s="458" t="s">
        <v>364</v>
      </c>
      <c r="U33" s="265">
        <f>12*U34</f>
        <v>23493387.184143588</v>
      </c>
      <c r="V33" s="458" t="s">
        <v>365</v>
      </c>
      <c r="W33" s="265">
        <f>12*W34</f>
        <v>23493387.184143588</v>
      </c>
      <c r="X33" s="458" t="s">
        <v>365</v>
      </c>
      <c r="Y33" s="2338">
        <v>0.1</v>
      </c>
      <c r="Z33" s="458"/>
      <c r="AA33" s="458"/>
      <c r="AB33" s="473"/>
    </row>
    <row r="34" spans="1:28" s="262" customFormat="1" ht="34.9" customHeight="1" outlineLevel="1" x14ac:dyDescent="0.25">
      <c r="A34" s="458"/>
      <c r="B34" s="2297" t="s">
        <v>366</v>
      </c>
      <c r="C34" s="2298"/>
      <c r="D34" s="2298"/>
      <c r="E34" s="2298"/>
      <c r="F34" s="2298"/>
      <c r="G34" s="2298"/>
      <c r="H34" s="2298"/>
      <c r="I34" s="2298"/>
      <c r="J34" s="2298"/>
      <c r="K34" s="2298"/>
      <c r="L34" s="2298"/>
      <c r="M34" s="2298"/>
      <c r="N34" s="461"/>
      <c r="O34" s="883"/>
      <c r="P34" s="461"/>
      <c r="Q34" s="883"/>
      <c r="R34" s="461"/>
      <c r="S34" s="265">
        <f>S36+S49+S62+S75+S88</f>
        <v>119116.8188707994</v>
      </c>
      <c r="T34" s="458" t="s">
        <v>367</v>
      </c>
      <c r="U34" s="265">
        <f>U36+U49+U62+U75+U88</f>
        <v>1957782.2653452989</v>
      </c>
      <c r="V34" s="458" t="s">
        <v>368</v>
      </c>
      <c r="W34" s="265">
        <f>W36+W49+W62+W75+W88</f>
        <v>1957782.2653452989</v>
      </c>
      <c r="X34" s="458" t="s">
        <v>368</v>
      </c>
      <c r="Y34" s="2339"/>
      <c r="Z34" s="458"/>
      <c r="AA34" s="458"/>
      <c r="AB34" s="473"/>
    </row>
    <row r="35" spans="1:28" s="262" customFormat="1" ht="25.15" customHeight="1" outlineLevel="1" x14ac:dyDescent="0.25">
      <c r="A35" s="458"/>
      <c r="B35" s="2299" t="s">
        <v>369</v>
      </c>
      <c r="C35" s="2291"/>
      <c r="D35" s="2291"/>
      <c r="E35" s="2300"/>
      <c r="F35" s="2291"/>
      <c r="G35" s="2291"/>
      <c r="H35" s="2291"/>
      <c r="I35" s="2300"/>
      <c r="J35" s="2291"/>
      <c r="K35" s="2291"/>
      <c r="L35" s="2291"/>
      <c r="M35" s="2291"/>
      <c r="N35" s="461"/>
      <c r="O35" s="885">
        <f>G9</f>
        <v>25</v>
      </c>
      <c r="P35" s="884"/>
      <c r="Q35" s="888"/>
      <c r="R35" s="461"/>
      <c r="S35" s="883"/>
      <c r="T35" s="458"/>
      <c r="U35" s="892"/>
      <c r="V35" s="458"/>
      <c r="W35" s="892"/>
      <c r="X35" s="458"/>
      <c r="Y35" s="283"/>
      <c r="Z35" s="458"/>
      <c r="AA35" s="458"/>
      <c r="AB35" s="473"/>
    </row>
    <row r="36" spans="1:28" s="262" customFormat="1" ht="36" customHeight="1" outlineLevel="1" x14ac:dyDescent="0.25">
      <c r="A36" s="458"/>
      <c r="B36" s="2299" t="s">
        <v>370</v>
      </c>
      <c r="C36" s="2299" t="s">
        <v>371</v>
      </c>
      <c r="D36" s="2302"/>
      <c r="E36" s="1515"/>
      <c r="F36" s="2290" t="s">
        <v>372</v>
      </c>
      <c r="G36" s="2291"/>
      <c r="H36" s="2292"/>
      <c r="I36" s="881"/>
      <c r="J36" s="2288" t="s">
        <v>970</v>
      </c>
      <c r="K36" s="2289"/>
      <c r="L36" s="2289"/>
      <c r="M36" s="2289"/>
      <c r="N36" s="458"/>
      <c r="O36" s="265">
        <f>O39+O41+O42+O43+O44+O45</f>
        <v>25</v>
      </c>
      <c r="P36" s="467"/>
      <c r="Q36" s="889">
        <f>Q39+Q41+Q42+Q43+Q44+Q45</f>
        <v>6303.5054762055324</v>
      </c>
      <c r="R36" s="458"/>
      <c r="S36" s="2285">
        <f>IF(AND(Q36&lt;&gt;0,O36&lt;&gt;0),Q36/(1+$D$17+$D$18+$D$19)/(($D$25*1000000/$D$8)),0)</f>
        <v>16.985288072836475</v>
      </c>
      <c r="T36" s="2324" t="s">
        <v>373</v>
      </c>
      <c r="U36" s="2285">
        <f>U39+U41+U42+U43+U44+U45</f>
        <v>250.06604084120016</v>
      </c>
      <c r="V36" s="467" t="s">
        <v>374</v>
      </c>
      <c r="W36" s="2285">
        <f>W39*O39+W41*O41+W42*O42+W43*O43+W44*O44+W45*O45</f>
        <v>250.06604084120016</v>
      </c>
      <c r="X36" s="467" t="s">
        <v>374</v>
      </c>
      <c r="Y36" s="865" t="s">
        <v>375</v>
      </c>
      <c r="Z36" s="458"/>
      <c r="AA36" s="458"/>
      <c r="AB36" s="473"/>
    </row>
    <row r="37" spans="1:28" s="262" customFormat="1" ht="24" customHeight="1" outlineLevel="1" x14ac:dyDescent="0.25">
      <c r="A37" s="458"/>
      <c r="B37" s="2301"/>
      <c r="C37" s="1637" t="s">
        <v>376</v>
      </c>
      <c r="D37" s="1638" t="s">
        <v>377</v>
      </c>
      <c r="E37" s="1516"/>
      <c r="F37" s="2293"/>
      <c r="G37" s="2291"/>
      <c r="H37" s="2292"/>
      <c r="I37" s="882"/>
      <c r="J37" s="2294" t="s">
        <v>378</v>
      </c>
      <c r="K37" s="2295"/>
      <c r="L37" s="2296" t="s">
        <v>379</v>
      </c>
      <c r="M37" s="2295"/>
      <c r="N37" s="458"/>
      <c r="O37" s="886" t="s">
        <v>380</v>
      </c>
      <c r="P37" s="467"/>
      <c r="Q37" s="890">
        <v>0.5</v>
      </c>
      <c r="R37" s="458"/>
      <c r="S37" s="2306"/>
      <c r="T37" s="2325"/>
      <c r="U37" s="2306"/>
      <c r="V37" s="467"/>
      <c r="W37" s="2286"/>
      <c r="X37" s="467"/>
      <c r="Y37" s="893">
        <f>$Y$33</f>
        <v>0.1</v>
      </c>
      <c r="Z37" s="458"/>
      <c r="AA37" s="458"/>
      <c r="AB37" s="473"/>
    </row>
    <row r="38" spans="1:28" s="262" customFormat="1" ht="24" customHeight="1" outlineLevel="1" x14ac:dyDescent="0.25">
      <c r="A38" s="458"/>
      <c r="B38" s="2310">
        <v>1</v>
      </c>
      <c r="C38" s="2310">
        <v>1</v>
      </c>
      <c r="D38" s="2313">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customHeight="1" outlineLevel="1" x14ac:dyDescent="0.25">
      <c r="A39" s="458"/>
      <c r="B39" s="2311"/>
      <c r="C39" s="2312"/>
      <c r="D39" s="2314"/>
      <c r="E39" s="882"/>
      <c r="F39" s="1694" t="s">
        <v>338</v>
      </c>
      <c r="G39" s="1695">
        <v>5</v>
      </c>
      <c r="H39" s="1696">
        <v>0.35</v>
      </c>
      <c r="I39" s="1516"/>
      <c r="J39" s="1697">
        <f>$L$32*H39*$B$38*$C$38</f>
        <v>1134.1246800562567</v>
      </c>
      <c r="K39" s="1698">
        <f>$M$32*H39*$B$38*$C$38</f>
        <v>94.510390004688048</v>
      </c>
      <c r="L39" s="1697">
        <f>J39*$D$38</f>
        <v>1417.6558500703209</v>
      </c>
      <c r="M39" s="1698">
        <f>K39*$D$38</f>
        <v>118.13798750586005</v>
      </c>
      <c r="N39" s="458"/>
      <c r="O39" s="887">
        <v>5</v>
      </c>
      <c r="P39" s="467"/>
      <c r="Q39" s="286">
        <f>O39*$Q$37*M39+O39*(1-$Q$37)*K39</f>
        <v>531.62094377637027</v>
      </c>
      <c r="R39" s="458"/>
      <c r="S39" s="891">
        <f>IF(AND(Q39&lt;&gt;0,O39&lt;&gt;0),Q39/(1+$D$17+$D$18+$D$19)/O39/30/(($D$25*1000000/$D$8))*1000,0)</f>
        <v>9.5499611654502274</v>
      </c>
      <c r="T39" s="467" t="s">
        <v>382</v>
      </c>
      <c r="U39" s="870">
        <f>S39*O39*30*$D$11*(1+$D$24)/1000</f>
        <v>21.089907058896401</v>
      </c>
      <c r="V39" s="467" t="s">
        <v>383</v>
      </c>
      <c r="W39" s="870">
        <f>IF(O39&lt;&gt;0,U39/O39,0)</f>
        <v>4.21798141177928</v>
      </c>
      <c r="X39" s="467" t="s">
        <v>384</v>
      </c>
      <c r="Y39" s="287" t="str">
        <f>IF(O39=0,"-", IF(W39&lt;=(G39*(1+$Y$37)),"OK", "NOK"))</f>
        <v>OK</v>
      </c>
      <c r="Z39" s="897"/>
      <c r="AA39" s="898">
        <f>IF(OR(Y39="OK",Y39="-"),1,0)</f>
        <v>1</v>
      </c>
      <c r="AB39" s="473"/>
    </row>
    <row r="40" spans="1:28" s="262" customFormat="1" ht="24" customHeight="1" outlineLevel="1" x14ac:dyDescent="0.25">
      <c r="A40" s="458"/>
      <c r="B40" s="2311"/>
      <c r="C40" s="2312"/>
      <c r="D40" s="2314"/>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customHeight="1" outlineLevel="1" x14ac:dyDescent="0.25">
      <c r="A41" s="458"/>
      <c r="B41" s="2311"/>
      <c r="C41" s="2312"/>
      <c r="D41" s="2314"/>
      <c r="E41" s="882"/>
      <c r="F41" s="1694">
        <f>G39</f>
        <v>5</v>
      </c>
      <c r="G41" s="1695">
        <v>15</v>
      </c>
      <c r="H41" s="1696">
        <v>0.06</v>
      </c>
      <c r="I41" s="1516"/>
      <c r="J41" s="1697">
        <f>$L$32*(H39+(G41-F41)*H41)*$B$38*$C$38</f>
        <v>3078.3384172955539</v>
      </c>
      <c r="K41" s="1698">
        <f>$M$32*(H39+(G41-F41)*H41)*$B$38*$C$38</f>
        <v>256.52820144129612</v>
      </c>
      <c r="L41" s="1697">
        <f t="shared" ref="L41:M45" si="0">J41*$D$38</f>
        <v>3847.9230216194424</v>
      </c>
      <c r="M41" s="1698">
        <f t="shared" si="0"/>
        <v>320.66025180162012</v>
      </c>
      <c r="N41" s="458"/>
      <c r="O41" s="887">
        <v>20</v>
      </c>
      <c r="P41" s="467"/>
      <c r="Q41" s="286">
        <f>O41*$Q$37*M41+O41*(1-$Q$37)*K41</f>
        <v>5771.8845324291624</v>
      </c>
      <c r="R41" s="458"/>
      <c r="S41" s="891">
        <f>IF(AND(Q41&lt;&gt;0,O41&lt;&gt;0),Q41/(1+$D$17+$D$18+$D$19)/O41/30/(($D$25*1000000/$D$8))*1000,0)</f>
        <v>25.9213231633649</v>
      </c>
      <c r="T41" s="467" t="s">
        <v>382</v>
      </c>
      <c r="U41" s="870">
        <f>S41*O41*30*$D$11*(1+$D$24)/1000</f>
        <v>228.97613378230378</v>
      </c>
      <c r="V41" s="467" t="s">
        <v>383</v>
      </c>
      <c r="W41" s="870">
        <f>IF(O41&lt;&gt;0,U41/O41,0)</f>
        <v>11.448806689115189</v>
      </c>
      <c r="X41" s="467" t="s">
        <v>384</v>
      </c>
      <c r="Y41" s="265" t="str">
        <f>IF(O41=0,"-",IF(AND(((F41*(1-$Y$37))&lt;W41),(W41&lt;(G41*(1+$Y$37)))),"OK", "NOK"))</f>
        <v>OK</v>
      </c>
      <c r="Z41" s="897"/>
      <c r="AA41" s="898">
        <f>IF(OR(Y41="OK",Y41="-"),1,0)</f>
        <v>1</v>
      </c>
      <c r="AB41" s="473"/>
    </row>
    <row r="42" spans="1:28" s="262" customFormat="1" ht="24" customHeight="1" outlineLevel="1" x14ac:dyDescent="0.25">
      <c r="A42" s="458"/>
      <c r="B42" s="2311"/>
      <c r="C42" s="2312"/>
      <c r="D42" s="2314"/>
      <c r="E42" s="882"/>
      <c r="F42" s="1694">
        <f>G41</f>
        <v>15</v>
      </c>
      <c r="G42" s="1695">
        <v>25</v>
      </c>
      <c r="H42" s="1696">
        <v>0.05</v>
      </c>
      <c r="I42" s="1516"/>
      <c r="J42" s="1697">
        <f>$L$32*(H39+(G41-F41)*H41+(G42-F42)*H42)*$B$38*$C$38</f>
        <v>4698.5165316616349</v>
      </c>
      <c r="K42" s="1698">
        <f>$M$32*(H39+(G41-F41)*H41+(G42-F42)*H42)*$B$38*$C$38</f>
        <v>391.54304430513622</v>
      </c>
      <c r="L42" s="1697">
        <f t="shared" si="0"/>
        <v>5873.1456645770431</v>
      </c>
      <c r="M42" s="1698">
        <f t="shared" si="0"/>
        <v>489.42880538142026</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customHeight="1" outlineLevel="1" x14ac:dyDescent="0.25">
      <c r="A43" s="458"/>
      <c r="B43" s="2311"/>
      <c r="C43" s="2312"/>
      <c r="D43" s="2314"/>
      <c r="E43" s="882"/>
      <c r="F43" s="1694">
        <f>G42</f>
        <v>25</v>
      </c>
      <c r="G43" s="1695">
        <v>35</v>
      </c>
      <c r="H43" s="1696">
        <v>3.5000000000000003E-2</v>
      </c>
      <c r="I43" s="1516"/>
      <c r="J43" s="1697">
        <f>$L$32*(H39+(G41-F41)*H41+(G42-F42)*H42+(G43-F43)*H43)*$B$38*$C$38</f>
        <v>5832.6412117178916</v>
      </c>
      <c r="K43" s="1698">
        <f>$M$32*(H39+(G41-F41)*H41+(G42-F42)*H42+(G43-F43)*H43)*$B$38*$C$38</f>
        <v>486.0534343098243</v>
      </c>
      <c r="L43" s="1697">
        <f t="shared" si="0"/>
        <v>7290.8015146473645</v>
      </c>
      <c r="M43" s="1698">
        <f t="shared" si="0"/>
        <v>607.56679288728037</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customHeight="1" outlineLevel="1" x14ac:dyDescent="0.25">
      <c r="A44" s="458"/>
      <c r="B44" s="2311"/>
      <c r="C44" s="2312"/>
      <c r="D44" s="2314"/>
      <c r="E44" s="882"/>
      <c r="F44" s="1694">
        <f>G43</f>
        <v>35</v>
      </c>
      <c r="G44" s="1695">
        <v>50</v>
      </c>
      <c r="H44" s="1696">
        <f>0.03</f>
        <v>0.03</v>
      </c>
      <c r="I44" s="1516"/>
      <c r="J44" s="1697">
        <f>$L$32*(H39+(G41-F41)*H41+(G42-F42)*H42+(G43-F43)*H43+(G44-F44)*H44)*$B$38*$C$38</f>
        <v>7290.8015146473645</v>
      </c>
      <c r="K44" s="1698">
        <f>$M$32*(H39+(G41-F41)*H41+(G42-F42)*H42+(G43-F43)*H43+(G44-F44)*H44)*$B$38*$C$38</f>
        <v>607.56679288728037</v>
      </c>
      <c r="L44" s="1697">
        <f t="shared" si="0"/>
        <v>9113.5018933092051</v>
      </c>
      <c r="M44" s="1698">
        <f t="shared" si="0"/>
        <v>759.45849110910046</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customHeight="1" outlineLevel="1" x14ac:dyDescent="0.25">
      <c r="A45" s="458"/>
      <c r="B45" s="2311"/>
      <c r="C45" s="2312"/>
      <c r="D45" s="2314"/>
      <c r="E45" s="882"/>
      <c r="F45" s="1694">
        <f>G44</f>
        <v>50</v>
      </c>
      <c r="G45" s="1695">
        <v>100</v>
      </c>
      <c r="H45" s="1696">
        <v>2.5000000000000001E-2</v>
      </c>
      <c r="I45" s="1516"/>
      <c r="J45" s="1697">
        <f>$L$32*(H39+(G41-F41)*H41+(G42-F42)*H42+(G43-F43)*H43+(G44-F44)*H44+(G45-F45)*H45)*$B$38*$C$38</f>
        <v>11341.246800562567</v>
      </c>
      <c r="K45" s="1698">
        <f>$M$32*(H39+(G41-F41)*H41+(G42-F42)*H42+(G43-F43)*H43+(G44-F44)*H44+(G45-F45)*H45)*$B$38*$C$38</f>
        <v>945.10390004688054</v>
      </c>
      <c r="L45" s="1697">
        <f t="shared" si="0"/>
        <v>14176.55850070321</v>
      </c>
      <c r="M45" s="1698">
        <f t="shared" si="0"/>
        <v>1181.3798750586006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customHeight="1" outlineLevel="1" x14ac:dyDescent="0.25">
      <c r="A47" s="458"/>
      <c r="B47" s="2297" t="s">
        <v>385</v>
      </c>
      <c r="C47" s="2298"/>
      <c r="D47" s="2298"/>
      <c r="E47" s="2298"/>
      <c r="F47" s="2298"/>
      <c r="G47" s="2298"/>
      <c r="H47" s="2298"/>
      <c r="I47" s="2298"/>
      <c r="J47" s="2298"/>
      <c r="K47" s="2298"/>
      <c r="L47" s="2298"/>
      <c r="M47" s="2298"/>
      <c r="N47" s="461"/>
      <c r="O47" s="458"/>
      <c r="P47" s="461"/>
      <c r="Q47" s="458"/>
      <c r="R47" s="461"/>
      <c r="S47" s="458"/>
      <c r="T47" s="458"/>
      <c r="U47" s="458"/>
      <c r="V47" s="458"/>
      <c r="W47" s="459"/>
      <c r="X47" s="458"/>
      <c r="Y47" s="459"/>
      <c r="Z47" s="458"/>
      <c r="AA47" s="458"/>
      <c r="AB47" s="473"/>
    </row>
    <row r="48" spans="1:28" s="1656" customFormat="1" ht="25.15" customHeight="1" outlineLevel="1" x14ac:dyDescent="0.45">
      <c r="A48" s="1649"/>
      <c r="B48" s="2299" t="s">
        <v>369</v>
      </c>
      <c r="C48" s="2291"/>
      <c r="D48" s="2291"/>
      <c r="E48" s="2300"/>
      <c r="F48" s="2291"/>
      <c r="G48" s="2291"/>
      <c r="H48" s="2291"/>
      <c r="I48" s="2300"/>
      <c r="J48" s="2291"/>
      <c r="K48" s="2291"/>
      <c r="L48" s="2291"/>
      <c r="M48" s="2291"/>
      <c r="N48" s="1650"/>
      <c r="O48" s="1651">
        <f>G6</f>
        <v>109759.20000000001</v>
      </c>
      <c r="P48" s="1652"/>
      <c r="Q48" s="1653"/>
      <c r="R48" s="1650"/>
      <c r="S48" s="1653"/>
      <c r="T48" s="1649"/>
      <c r="U48" s="1649"/>
      <c r="V48" s="1649"/>
      <c r="W48" s="1654"/>
      <c r="X48" s="1649"/>
      <c r="Y48" s="1654"/>
      <c r="Z48" s="1649"/>
      <c r="AA48" s="1649"/>
      <c r="AB48" s="1655"/>
    </row>
    <row r="49" spans="1:28" s="262" customFormat="1" ht="43.9" customHeight="1" outlineLevel="1" x14ac:dyDescent="0.25">
      <c r="A49" s="458"/>
      <c r="B49" s="2299" t="s">
        <v>370</v>
      </c>
      <c r="C49" s="2299" t="s">
        <v>371</v>
      </c>
      <c r="D49" s="2302"/>
      <c r="E49" s="1515"/>
      <c r="F49" s="2290" t="s">
        <v>372</v>
      </c>
      <c r="G49" s="2291"/>
      <c r="H49" s="2292"/>
      <c r="I49" s="881"/>
      <c r="J49" s="2288" t="s">
        <v>970</v>
      </c>
      <c r="K49" s="2289"/>
      <c r="L49" s="2289"/>
      <c r="M49" s="2289"/>
      <c r="N49" s="458"/>
      <c r="O49" s="265">
        <f>O52+O54+O55+O56+O57+O58</f>
        <v>109759</v>
      </c>
      <c r="P49" s="467"/>
      <c r="Q49" s="895">
        <f>Q52+Q54+Q55+Q56+Q57+Q58</f>
        <v>24303165.363510434</v>
      </c>
      <c r="R49" s="458"/>
      <c r="S49" s="2305">
        <f>IF(AND(Q49&lt;&gt;0,O49&lt;&gt;0),Q49/(1+$D$17+$D$18+$D$19)/(($D$25*1000000/$D$8)),0)</f>
        <v>65486.778164821037</v>
      </c>
      <c r="T49" s="2324" t="s">
        <v>373</v>
      </c>
      <c r="U49" s="2285">
        <f>U52+U54+U55+U56+U57+U58</f>
        <v>964129.62046324753</v>
      </c>
      <c r="V49" s="467" t="s">
        <v>374</v>
      </c>
      <c r="W49" s="2303">
        <f>W52*O52+W54*O54+W55*O55+W56*O56+W57*O57+W58*O58</f>
        <v>964129.62046324753</v>
      </c>
      <c r="X49" s="467" t="s">
        <v>374</v>
      </c>
      <c r="Y49" s="865" t="s">
        <v>375</v>
      </c>
      <c r="Z49" s="458"/>
      <c r="AA49" s="458"/>
      <c r="AB49" s="473"/>
    </row>
    <row r="50" spans="1:28" s="262" customFormat="1" ht="24" customHeight="1" outlineLevel="1" x14ac:dyDescent="0.25">
      <c r="A50" s="458"/>
      <c r="B50" s="2301"/>
      <c r="C50" s="1637" t="s">
        <v>376</v>
      </c>
      <c r="D50" s="1638" t="s">
        <v>377</v>
      </c>
      <c r="E50" s="1516"/>
      <c r="F50" s="2293"/>
      <c r="G50" s="2291"/>
      <c r="H50" s="2292"/>
      <c r="I50" s="882"/>
      <c r="J50" s="2294" t="s">
        <v>378</v>
      </c>
      <c r="K50" s="2295"/>
      <c r="L50" s="2296" t="s">
        <v>379</v>
      </c>
      <c r="M50" s="2295"/>
      <c r="N50" s="458"/>
      <c r="O50" s="894" t="s">
        <v>380</v>
      </c>
      <c r="P50" s="467"/>
      <c r="Q50" s="890">
        <v>0.5</v>
      </c>
      <c r="R50" s="458"/>
      <c r="S50" s="2306"/>
      <c r="T50" s="2325"/>
      <c r="U50" s="2306"/>
      <c r="V50" s="467"/>
      <c r="W50" s="2304"/>
      <c r="X50" s="467"/>
      <c r="Y50" s="893">
        <f>$Y$33</f>
        <v>0.1</v>
      </c>
      <c r="Z50" s="458"/>
      <c r="AA50" s="458"/>
      <c r="AB50" s="473"/>
    </row>
    <row r="51" spans="1:28" s="262" customFormat="1" ht="24" customHeight="1" outlineLevel="1" x14ac:dyDescent="0.25">
      <c r="A51" s="458"/>
      <c r="B51" s="2310">
        <v>1</v>
      </c>
      <c r="C51" s="2310">
        <v>1</v>
      </c>
      <c r="D51" s="2313">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customHeight="1" outlineLevel="1" x14ac:dyDescent="0.25">
      <c r="A52" s="458"/>
      <c r="B52" s="2311"/>
      <c r="C52" s="2312"/>
      <c r="D52" s="2314"/>
      <c r="E52" s="882"/>
      <c r="F52" s="1694" t="s">
        <v>338</v>
      </c>
      <c r="G52" s="1695">
        <v>5</v>
      </c>
      <c r="H52" s="1696">
        <f>0.35-0.05</f>
        <v>0.3</v>
      </c>
      <c r="I52" s="1516"/>
      <c r="J52" s="1697">
        <f>$L$32*H52*$B$51*$C$51</f>
        <v>972.10686861964859</v>
      </c>
      <c r="K52" s="1698">
        <f>$M$32*H52*$B$51*$C$51</f>
        <v>81.008905718304035</v>
      </c>
      <c r="L52" s="1697">
        <f>J52*$D$51</f>
        <v>1215.1335857745607</v>
      </c>
      <c r="M52" s="1698">
        <f>K52*$D$51</f>
        <v>101.26113214788005</v>
      </c>
      <c r="N52" s="458"/>
      <c r="O52" s="887">
        <v>76400</v>
      </c>
      <c r="P52" s="467"/>
      <c r="Q52" s="286">
        <f>O52*$Q$50*M52+O52*(1-$Q$50)*K52</f>
        <v>6962715.4464882324</v>
      </c>
      <c r="R52" s="458"/>
      <c r="S52" s="891">
        <f>IF(AND(Q52&lt;&gt;0,O52&lt;&gt;0),Q52/(1+$D$17+$D$18+$D$19)/O52/30/(($D$25*1000000/$D$8))*1000,0)</f>
        <v>8.1856809989573378</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customHeight="1" outlineLevel="1" x14ac:dyDescent="0.25">
      <c r="A53" s="458"/>
      <c r="B53" s="2311"/>
      <c r="C53" s="2312"/>
      <c r="D53" s="2314"/>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customHeight="1" outlineLevel="1" x14ac:dyDescent="0.25">
      <c r="A54" s="458"/>
      <c r="B54" s="2311"/>
      <c r="C54" s="2312"/>
      <c r="D54" s="2314"/>
      <c r="E54" s="882"/>
      <c r="F54" s="1694">
        <f>G52</f>
        <v>5</v>
      </c>
      <c r="G54" s="1695">
        <v>15</v>
      </c>
      <c r="H54" s="1696">
        <f>0.08</f>
        <v>0.08</v>
      </c>
      <c r="I54" s="1516"/>
      <c r="J54" s="1697">
        <f>$L$32*(H52+(G54-F54)*H54)*$B$51*$C$51</f>
        <v>3564.3918516053786</v>
      </c>
      <c r="K54" s="1698">
        <f>$M$32*(H52+(G54-F54)*H54)*$B$51*$C$51</f>
        <v>297.0326543004482</v>
      </c>
      <c r="L54" s="1697">
        <f t="shared" ref="L54:M58" si="1">J54*$D$51</f>
        <v>4455.4898145067236</v>
      </c>
      <c r="M54" s="1698">
        <f t="shared" si="1"/>
        <v>371.29081787556026</v>
      </c>
      <c r="N54" s="458"/>
      <c r="O54" s="887">
        <v>16500</v>
      </c>
      <c r="P54" s="467"/>
      <c r="Q54" s="286">
        <f>O54*$Q$50*M54+O54*(1-$Q$50)*K54</f>
        <v>5513668.6454520691</v>
      </c>
      <c r="R54" s="458"/>
      <c r="S54" s="891">
        <f>IF(AND(Q54&lt;&gt;0,O54&lt;&gt;0),Q54/(1+$D$17+$D$18+$D$19)/O54/30/(($D$25*1000000/$D$8))*1000,0)</f>
        <v>30.014163662843576</v>
      </c>
      <c r="T54" s="467" t="s">
        <v>382</v>
      </c>
      <c r="U54" s="870">
        <f>S54*O54*30*$D$11*(1+$D$24)/1000</f>
        <v>218732.46463941131</v>
      </c>
      <c r="V54" s="467" t="s">
        <v>383</v>
      </c>
      <c r="W54" s="900">
        <f>IF(O54&lt;&gt;0,U54/O54,0)</f>
        <v>13.25651300844917</v>
      </c>
      <c r="X54" s="467" t="s">
        <v>384</v>
      </c>
      <c r="Y54" s="287" t="str">
        <f>IF(O54=0,"-",IF(AND(((F54*(1-$Y$50))&lt;W54),(W54&lt;(G54*(1+$Y$50)))),"OK", "NOK"))</f>
        <v>OK</v>
      </c>
      <c r="Z54" s="151"/>
      <c r="AA54" s="249">
        <f>IF(OR(Y54="OK",Y54="-"),1,0)</f>
        <v>1</v>
      </c>
      <c r="AB54" s="473"/>
    </row>
    <row r="55" spans="1:28" s="262" customFormat="1" ht="24" customHeight="1" outlineLevel="1" x14ac:dyDescent="0.25">
      <c r="A55" s="458"/>
      <c r="B55" s="2311"/>
      <c r="C55" s="2312"/>
      <c r="D55" s="2314"/>
      <c r="E55" s="882"/>
      <c r="F55" s="1694">
        <f>G54</f>
        <v>15</v>
      </c>
      <c r="G55" s="1695">
        <v>25</v>
      </c>
      <c r="H55" s="1696">
        <f>0.0725</f>
        <v>7.2499999999999995E-2</v>
      </c>
      <c r="I55" s="1516"/>
      <c r="J55" s="1697">
        <f>$L$32*(H52+(G54-F54)*H54+(G55-F55)*H55)*$B$51*$C$51</f>
        <v>5913.6501174361965</v>
      </c>
      <c r="K55" s="1698">
        <f>$M$32*(H52+(G54-F54)*H54+(G55-F55)*H55)*$B$51*$C$51</f>
        <v>492.80417645301634</v>
      </c>
      <c r="L55" s="1697">
        <f t="shared" si="1"/>
        <v>7392.0626467952461</v>
      </c>
      <c r="M55" s="1698">
        <f t="shared" si="1"/>
        <v>616.0052205662704</v>
      </c>
      <c r="N55" s="458"/>
      <c r="O55" s="887">
        <v>10000</v>
      </c>
      <c r="P55" s="467"/>
      <c r="Q55" s="286">
        <f>O55*$Q$50*M55+O55*(1-$Q$50)*K55</f>
        <v>5544046.9850964341</v>
      </c>
      <c r="R55" s="458"/>
      <c r="S55" s="891">
        <f>IF(AND(Q55&lt;&gt;0,O55&lt;&gt;0),Q55/(1+$D$17+$D$18+$D$19)/O55/30/(($D$25*1000000/$D$8))*1000,0)</f>
        <v>49.796226076990486</v>
      </c>
      <c r="T55" s="467" t="s">
        <v>382</v>
      </c>
      <c r="U55" s="870">
        <f>S55*O55*30*$D$11*(1+$D$24)/1000</f>
        <v>219937.60218563402</v>
      </c>
      <c r="V55" s="467" t="s">
        <v>383</v>
      </c>
      <c r="W55" s="901">
        <f>IF(O55&lt;&gt;0,U55/O55,0)</f>
        <v>21.993760218563402</v>
      </c>
      <c r="X55" s="467" t="s">
        <v>384</v>
      </c>
      <c r="Y55" s="287" t="str">
        <f>IF(O55=0,"-",IF(AND(((F55*(1-$Y$50))&lt;W55),(W55&lt;(G55*(1+$Y$50)))),"OK", "NOK"))</f>
        <v>OK</v>
      </c>
      <c r="Z55" s="151"/>
      <c r="AA55" s="249">
        <f>IF(OR(Y55="OK",Y55="-"),1,0)</f>
        <v>1</v>
      </c>
      <c r="AB55" s="473"/>
    </row>
    <row r="56" spans="1:28" s="262" customFormat="1" ht="24" customHeight="1" outlineLevel="1" x14ac:dyDescent="0.25">
      <c r="A56" s="458"/>
      <c r="B56" s="2311"/>
      <c r="C56" s="2312"/>
      <c r="D56" s="2314"/>
      <c r="E56" s="882"/>
      <c r="F56" s="1694">
        <f>G55</f>
        <v>25</v>
      </c>
      <c r="G56" s="1695">
        <v>35</v>
      </c>
      <c r="H56" s="1696">
        <v>6.5000000000000002E-2</v>
      </c>
      <c r="I56" s="1516"/>
      <c r="J56" s="1697">
        <f>$L$32*(H52+(G54-F54)*H54+(G55-F55)*H55+(G56-F56)*H56)*$B$51*$C$51</f>
        <v>8019.8816661121009</v>
      </c>
      <c r="K56" s="1698">
        <f>$M$32*(H52+(G54-F54)*H54+(G55-F55)*H55+(G56-F56)*H56)*$B$51*$C$51</f>
        <v>668.32347217600841</v>
      </c>
      <c r="L56" s="1697">
        <f t="shared" si="1"/>
        <v>10024.852082640125</v>
      </c>
      <c r="M56" s="1698">
        <f t="shared" si="1"/>
        <v>835.40434022001045</v>
      </c>
      <c r="N56" s="458"/>
      <c r="O56" s="887">
        <v>5500</v>
      </c>
      <c r="P56" s="467"/>
      <c r="Q56" s="286">
        <f>O56*$Q$50*M56+O56*(1-$Q$50)*K56</f>
        <v>4135251.4840890518</v>
      </c>
      <c r="R56" s="458"/>
      <c r="S56" s="891">
        <f>IF(AND(Q56&lt;&gt;0,O56&lt;&gt;0),Q56/(1+$D$17+$D$18+$D$19)/O56/30/(($D$25*1000000/$D$8))*1000,0)</f>
        <v>67.531868241398044</v>
      </c>
      <c r="T56" s="467" t="s">
        <v>382</v>
      </c>
      <c r="U56" s="870">
        <f>S56*O56*30*$D$11*(1+$D$24)/1000</f>
        <v>164049.34847955851</v>
      </c>
      <c r="V56" s="467" t="s">
        <v>383</v>
      </c>
      <c r="W56" s="901">
        <f>IF(O56&lt;&gt;0,U56/O56,0)</f>
        <v>29.827154269010638</v>
      </c>
      <c r="X56" s="467" t="s">
        <v>384</v>
      </c>
      <c r="Y56" s="287" t="str">
        <f>IF(O56=0,"-",IF(AND(((F56*(1-$Y$50))&lt;W56),(W56&lt;(G56*(1+$Y$50)))),"OK", "NOK"))</f>
        <v>OK</v>
      </c>
      <c r="Z56" s="151"/>
      <c r="AA56" s="249">
        <f>IF(OR(Y56="OK",Y56="-"),1,0)</f>
        <v>1</v>
      </c>
      <c r="AB56" s="473"/>
    </row>
    <row r="57" spans="1:28" s="262" customFormat="1" ht="24" customHeight="1" outlineLevel="1" x14ac:dyDescent="0.25">
      <c r="A57" s="458"/>
      <c r="B57" s="2311"/>
      <c r="C57" s="2312"/>
      <c r="D57" s="2314"/>
      <c r="E57" s="882"/>
      <c r="F57" s="1694">
        <f>G56</f>
        <v>35</v>
      </c>
      <c r="G57" s="1695">
        <v>50</v>
      </c>
      <c r="H57" s="1696">
        <f>0.06</f>
        <v>0.06</v>
      </c>
      <c r="I57" s="1516"/>
      <c r="J57" s="1697">
        <f>$L$32*(H52+(G54-F54)*H54+(G55-F55)*H55+(G56-F56)*H56+(G57-F57)*H57)*$B$51*$C$51</f>
        <v>10936.202271971048</v>
      </c>
      <c r="K57" s="1698">
        <f>$M$32*(H52+(G54-F54)*H54+(G55-F55)*H55+(G56-F56)*H56+(G57-F57)*H57)*$B$51*$C$51</f>
        <v>911.35018933092044</v>
      </c>
      <c r="L57" s="1697">
        <f t="shared" si="1"/>
        <v>13670.25283996381</v>
      </c>
      <c r="M57" s="1698">
        <f t="shared" si="1"/>
        <v>1139.1877366636506</v>
      </c>
      <c r="N57" s="458"/>
      <c r="O57" s="887">
        <v>366</v>
      </c>
      <c r="P57" s="467"/>
      <c r="Q57" s="286">
        <f>O57*$Q$50*M57+O57*(1-$Q$50)*K57</f>
        <v>375248.44045700651</v>
      </c>
      <c r="R57" s="458"/>
      <c r="S57" s="891">
        <f>IF(AND(Q57&lt;&gt;0,O57&lt;&gt;0),Q57/(1+$D$17+$D$18+$D$19)/O57/30/(($D$25*1000000/$D$8))*1000,0)</f>
        <v>92.088911238270072</v>
      </c>
      <c r="T57" s="467" t="s">
        <v>382</v>
      </c>
      <c r="U57" s="870">
        <f>S57*O57*30*$D$11*(1+$D$24)/1000</f>
        <v>14886.461539715307</v>
      </c>
      <c r="V57" s="467" t="s">
        <v>383</v>
      </c>
      <c r="W57" s="901">
        <f>IF(O57&lt;&gt;0,U57/O57,0)</f>
        <v>40.673392185014499</v>
      </c>
      <c r="X57" s="467" t="s">
        <v>384</v>
      </c>
      <c r="Y57" s="287" t="str">
        <f>IF(O57=0,"-",IF(AND(((F57*(1-$Y$50))&lt;W57),(W57&lt;(G57*(1+$Y$50)))),"OK", "NOK"))</f>
        <v>OK</v>
      </c>
      <c r="Z57" s="151"/>
      <c r="AA57" s="249">
        <f>IF(OR(Y57="OK",Y57="-"),1,0)</f>
        <v>1</v>
      </c>
      <c r="AB57" s="473"/>
    </row>
    <row r="58" spans="1:28" s="262" customFormat="1" ht="24" customHeight="1" outlineLevel="1" x14ac:dyDescent="0.25">
      <c r="A58" s="458"/>
      <c r="B58" s="2311"/>
      <c r="C58" s="2312"/>
      <c r="D58" s="2314"/>
      <c r="E58" s="882"/>
      <c r="F58" s="1694">
        <f>G57</f>
        <v>50</v>
      </c>
      <c r="G58" s="1695">
        <v>100</v>
      </c>
      <c r="H58" s="1696">
        <v>0.05</v>
      </c>
      <c r="I58" s="1516"/>
      <c r="J58" s="1697">
        <f>$L$32*(H52+(G54-F54)*H54+(G55-F55)*H55+(G56-F56)*H56+(G57-F57)*H57+(G58-F58)*H58)*$B$51*$C$51</f>
        <v>19037.092843801453</v>
      </c>
      <c r="K58" s="1698">
        <f>$M$32*(H52+(G54-F54)*H54+(G55-F55)*H55+(G56-F56)*H56+(G57-F57)*H57+(G58-F58)*H58)*$B$51*$C$51</f>
        <v>1586.4244036501209</v>
      </c>
      <c r="L58" s="1697">
        <f t="shared" si="1"/>
        <v>23796.366054751816</v>
      </c>
      <c r="M58" s="1698">
        <f t="shared" si="1"/>
        <v>1983.030504562651</v>
      </c>
      <c r="N58" s="458"/>
      <c r="O58" s="887">
        <v>993</v>
      </c>
      <c r="P58" s="467"/>
      <c r="Q58" s="286">
        <f>O58*$Q$50*M58+O58*(1-$Q$50)*K58</f>
        <v>1772234.3619276411</v>
      </c>
      <c r="R58" s="458"/>
      <c r="S58" s="891">
        <f>IF(AND(Q58&lt;&gt;0,O58&lt;&gt;0),Q58/(1+$D$17+$D$18+$D$19)/O58/30/(($D$25*1000000/$D$8))*1000,0)</f>
        <v>160.30291956291452</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5"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customHeight="1" outlineLevel="1" x14ac:dyDescent="0.25">
      <c r="A60" s="458"/>
      <c r="B60" s="2297" t="s">
        <v>386</v>
      </c>
      <c r="C60" s="2298"/>
      <c r="D60" s="2298"/>
      <c r="E60" s="2298"/>
      <c r="F60" s="2298"/>
      <c r="G60" s="2298"/>
      <c r="H60" s="2298"/>
      <c r="I60" s="2298"/>
      <c r="J60" s="2298"/>
      <c r="K60" s="2298"/>
      <c r="L60" s="2298"/>
      <c r="M60" s="2298"/>
      <c r="N60" s="461"/>
      <c r="O60" s="458"/>
      <c r="P60" s="461"/>
      <c r="Q60" s="458"/>
      <c r="R60" s="461"/>
      <c r="S60" s="458"/>
      <c r="T60" s="458"/>
      <c r="U60" s="458"/>
      <c r="V60" s="458"/>
      <c r="W60" s="459"/>
      <c r="X60" s="458"/>
      <c r="Y60" s="459"/>
      <c r="Z60" s="458"/>
      <c r="AA60" s="458"/>
      <c r="AB60" s="473"/>
    </row>
    <row r="61" spans="1:28" s="1656" customFormat="1" ht="25.15" customHeight="1" outlineLevel="1" x14ac:dyDescent="0.45">
      <c r="A61" s="1649"/>
      <c r="B61" s="2299" t="s">
        <v>369</v>
      </c>
      <c r="C61" s="2291"/>
      <c r="D61" s="2291"/>
      <c r="E61" s="2300"/>
      <c r="F61" s="2291"/>
      <c r="G61" s="2291"/>
      <c r="H61" s="2291"/>
      <c r="I61" s="2300"/>
      <c r="J61" s="2291"/>
      <c r="K61" s="2291"/>
      <c r="L61" s="2291"/>
      <c r="M61" s="2291"/>
      <c r="N61" s="1650"/>
      <c r="O61" s="1651">
        <f>G7</f>
        <v>27439.800000000003</v>
      </c>
      <c r="P61" s="1652"/>
      <c r="Q61" s="1657"/>
      <c r="R61" s="1650"/>
      <c r="S61" s="1657"/>
      <c r="T61" s="1649"/>
      <c r="U61" s="1649"/>
      <c r="V61" s="1649"/>
      <c r="W61" s="1654"/>
      <c r="X61" s="1649"/>
      <c r="Y61" s="1654"/>
      <c r="Z61" s="1649"/>
      <c r="AA61" s="1649"/>
      <c r="AB61" s="1655"/>
    </row>
    <row r="62" spans="1:28" s="262" customFormat="1" ht="43.9" customHeight="1" outlineLevel="1" x14ac:dyDescent="0.25">
      <c r="A62" s="458"/>
      <c r="B62" s="2299" t="s">
        <v>370</v>
      </c>
      <c r="C62" s="2299" t="s">
        <v>371</v>
      </c>
      <c r="D62" s="2302"/>
      <c r="E62" s="1515"/>
      <c r="F62" s="2290" t="s">
        <v>372</v>
      </c>
      <c r="G62" s="2291"/>
      <c r="H62" s="2292"/>
      <c r="I62" s="881"/>
      <c r="J62" s="2288" t="s">
        <v>970</v>
      </c>
      <c r="K62" s="2289"/>
      <c r="L62" s="2289"/>
      <c r="M62" s="2289"/>
      <c r="N62" s="458"/>
      <c r="O62" s="265">
        <f>O65+O67+O68+O69+O70+O71</f>
        <v>27440</v>
      </c>
      <c r="P62" s="467"/>
      <c r="Q62" s="889">
        <f>Q65+Q67+Q68+Q69+Q70+Q71</f>
        <v>1286104.4754630455</v>
      </c>
      <c r="R62" s="458"/>
      <c r="S62" s="2285">
        <f>IF(AND(Q62&lt;&gt;0,O62&lt;&gt;0),Q62/(1+$D$17+$D$18+$D$19)/(($D$25*1000000/$D$8)),0)</f>
        <v>3465.5090076409106</v>
      </c>
      <c r="T62" s="2324" t="s">
        <v>373</v>
      </c>
      <c r="U62" s="2285">
        <f>U65+U67+U68+U69+U70+U71</f>
        <v>255104.92177821486</v>
      </c>
      <c r="V62" s="467" t="s">
        <v>374</v>
      </c>
      <c r="W62" s="2285">
        <f>W65*O65+W67*O67+W68*O68+W69*O69+W70*O70+W71*O71</f>
        <v>255104.92177821486</v>
      </c>
      <c r="X62" s="467" t="s">
        <v>374</v>
      </c>
      <c r="Y62" s="865" t="s">
        <v>375</v>
      </c>
      <c r="Z62" s="458"/>
      <c r="AA62" s="458"/>
      <c r="AB62" s="473"/>
    </row>
    <row r="63" spans="1:28" s="262" customFormat="1" ht="24" customHeight="1" outlineLevel="1" x14ac:dyDescent="0.25">
      <c r="A63" s="458"/>
      <c r="B63" s="2301"/>
      <c r="C63" s="1637" t="s">
        <v>376</v>
      </c>
      <c r="D63" s="1638" t="s">
        <v>377</v>
      </c>
      <c r="E63" s="1516"/>
      <c r="F63" s="2293"/>
      <c r="G63" s="2291"/>
      <c r="H63" s="2292"/>
      <c r="I63" s="882"/>
      <c r="J63" s="2294" t="s">
        <v>378</v>
      </c>
      <c r="K63" s="2295"/>
      <c r="L63" s="2296" t="s">
        <v>379</v>
      </c>
      <c r="M63" s="2295"/>
      <c r="N63" s="458"/>
      <c r="O63" s="894" t="s">
        <v>380</v>
      </c>
      <c r="P63" s="467"/>
      <c r="Q63" s="890">
        <v>0.25</v>
      </c>
      <c r="R63" s="458"/>
      <c r="S63" s="2306"/>
      <c r="T63" s="2325"/>
      <c r="U63" s="2306"/>
      <c r="V63" s="467"/>
      <c r="W63" s="2286"/>
      <c r="X63" s="467"/>
      <c r="Y63" s="893">
        <f>$Y$33</f>
        <v>0.1</v>
      </c>
      <c r="Z63" s="458"/>
      <c r="AA63" s="458"/>
      <c r="AB63" s="473"/>
    </row>
    <row r="64" spans="1:28" s="262" customFormat="1" ht="24" customHeight="1" outlineLevel="1" x14ac:dyDescent="0.25">
      <c r="A64" s="458"/>
      <c r="B64" s="2307">
        <f>B51*$H$15</f>
        <v>0.2</v>
      </c>
      <c r="C64" s="2307">
        <f>C51</f>
        <v>1</v>
      </c>
      <c r="D64" s="2307">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customHeight="1" outlineLevel="1" x14ac:dyDescent="0.25">
      <c r="A65" s="458"/>
      <c r="B65" s="2308"/>
      <c r="C65" s="2308"/>
      <c r="D65" s="2308"/>
      <c r="E65" s="882"/>
      <c r="F65" s="1694" t="s">
        <v>338</v>
      </c>
      <c r="G65" s="1699">
        <f>G52</f>
        <v>5</v>
      </c>
      <c r="H65" s="1700">
        <f>H52</f>
        <v>0.3</v>
      </c>
      <c r="I65" s="1516"/>
      <c r="J65" s="1701">
        <f>$L$32*H65*$B$64*$C$64</f>
        <v>194.42137372392972</v>
      </c>
      <c r="K65" s="1698">
        <f>$M$32*H65*$B$64*$C$64</f>
        <v>16.201781143660806</v>
      </c>
      <c r="L65" s="1697">
        <f>J65*$D$51</f>
        <v>243.02671715491215</v>
      </c>
      <c r="M65" s="1698">
        <f>K65*$D$51</f>
        <v>20.252226429576009</v>
      </c>
      <c r="N65" s="458"/>
      <c r="O65" s="887">
        <v>15000</v>
      </c>
      <c r="P65" s="467"/>
      <c r="Q65" s="286">
        <f>O65*$Q$63*M65+O65*(1-$Q$63)*K65</f>
        <v>258215.88697709411</v>
      </c>
      <c r="R65" s="458"/>
      <c r="S65" s="891">
        <f>IF(AND(Q65&lt;&gt;0,O65&lt;&gt;0),Q65/(1+$D$17+$D$18+$D$19)/$H$15/O65/30/(($D$25*1000000/$D$8))*1000,0)</f>
        <v>7.7309209434597079</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customHeight="1" outlineLevel="1" x14ac:dyDescent="0.25">
      <c r="A66" s="458"/>
      <c r="B66" s="2308"/>
      <c r="C66" s="2308"/>
      <c r="D66" s="2308"/>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customHeight="1" outlineLevel="1" x14ac:dyDescent="0.25">
      <c r="A67" s="458"/>
      <c r="B67" s="2308"/>
      <c r="C67" s="2308"/>
      <c r="D67" s="2308"/>
      <c r="E67" s="882"/>
      <c r="F67" s="1694">
        <f>G65</f>
        <v>5</v>
      </c>
      <c r="G67" s="1699">
        <f t="shared" ref="G67:H71" si="2">G54</f>
        <v>15</v>
      </c>
      <c r="H67" s="1700">
        <f t="shared" si="2"/>
        <v>0.08</v>
      </c>
      <c r="I67" s="1516"/>
      <c r="J67" s="1701">
        <f>$L$32*(H65+(G67-F67)*H67)*$B$64*$C$64</f>
        <v>712.87837032107575</v>
      </c>
      <c r="K67" s="1698">
        <f>$M$32*(H65+(G67-F67)*H67)*$B$64*$C$64</f>
        <v>59.406530860089646</v>
      </c>
      <c r="L67" s="1697">
        <f t="shared" ref="L67:M71" si="3">J67*$D$51</f>
        <v>891.09796290134466</v>
      </c>
      <c r="M67" s="1698">
        <f t="shared" si="3"/>
        <v>74.258163575112064</v>
      </c>
      <c r="N67" s="458"/>
      <c r="O67" s="887">
        <v>8400</v>
      </c>
      <c r="P67" s="467"/>
      <c r="Q67" s="286">
        <f>O67*$Q$63*M67+O67*(1-$Q$63)*K67</f>
        <v>530203.28792630008</v>
      </c>
      <c r="R67" s="458"/>
      <c r="S67" s="891">
        <f>IF(AND(Q67&lt;&gt;0,O67&lt;&gt;0),Q67/(1+$D$17+$D$18+$D$19)/$H$15/O67/30/(($D$25*1000000/$D$8))*1000,0)</f>
        <v>28.346710126018934</v>
      </c>
      <c r="T67" s="467" t="s">
        <v>382</v>
      </c>
      <c r="U67" s="870">
        <f>S67*O67*30*$D$11*(1+$D$24)/1000</f>
        <v>105168.33653369675</v>
      </c>
      <c r="V67" s="467" t="s">
        <v>383</v>
      </c>
      <c r="W67" s="870">
        <f>IF(O67&lt;&gt;0,U67/O67,0)</f>
        <v>12.520040063535328</v>
      </c>
      <c r="X67" s="467" t="s">
        <v>384</v>
      </c>
      <c r="Y67" s="287" t="str">
        <f>IF(O67=0,"-",IF(AND(((F67*(1-$Y$63))&lt;W67),(W67&lt;(G67*(1+$Y$63)))),"OK", "NOK"))</f>
        <v>OK</v>
      </c>
      <c r="Z67" s="284">
        <f>W67/$H$15</f>
        <v>62.600200317676638</v>
      </c>
      <c r="AA67" s="249">
        <f>IF(OR(Y67="OK",Y67="-"),1,0)</f>
        <v>1</v>
      </c>
      <c r="AB67" s="459"/>
    </row>
    <row r="68" spans="1:28" s="262" customFormat="1" ht="24" customHeight="1" outlineLevel="1" x14ac:dyDescent="0.25">
      <c r="A68" s="458"/>
      <c r="B68" s="2308"/>
      <c r="C68" s="2308"/>
      <c r="D68" s="2308"/>
      <c r="E68" s="882"/>
      <c r="F68" s="1694">
        <f>G67</f>
        <v>15</v>
      </c>
      <c r="G68" s="1699">
        <f t="shared" si="2"/>
        <v>25</v>
      </c>
      <c r="H68" s="1700">
        <f t="shared" si="2"/>
        <v>7.2499999999999995E-2</v>
      </c>
      <c r="I68" s="1516"/>
      <c r="J68" s="1701">
        <f>$L$32*(H65+(G67-F67)*H67+(G68-F68)*H68)*$B$64*$C$64</f>
        <v>1182.7300234872394</v>
      </c>
      <c r="K68" s="1698">
        <f>$M$32*(H65+(G67-F67)*H67+(G68-F68)*H68)*$B$64*$C$64</f>
        <v>98.560835290603279</v>
      </c>
      <c r="L68" s="1697">
        <f t="shared" si="3"/>
        <v>1478.4125293590491</v>
      </c>
      <c r="M68" s="1698">
        <f t="shared" si="3"/>
        <v>123.2010441132541</v>
      </c>
      <c r="N68" s="458"/>
      <c r="O68" s="887">
        <v>2960</v>
      </c>
      <c r="P68" s="467"/>
      <c r="Q68" s="286">
        <f>O68*$Q$63*M68+O68*(1-$Q$63)*K68</f>
        <v>309973.82698894729</v>
      </c>
      <c r="R68" s="458"/>
      <c r="S68" s="891">
        <f>IF(AND(Q68&lt;&gt;0,O68&lt;&gt;0),Q68/(1+$D$17+$D$18+$D$19)/$H$15/O68/30/(($D$25*1000000/$D$8))*1000,0)</f>
        <v>47.029769072713236</v>
      </c>
      <c r="T68" s="467" t="s">
        <v>382</v>
      </c>
      <c r="U68" s="870">
        <f>S68*O68*30*$D$11*(1+$D$24)/1000</f>
        <v>61484.778566561683</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customHeight="1" outlineLevel="1" x14ac:dyDescent="0.25">
      <c r="A69" s="458"/>
      <c r="B69" s="2308"/>
      <c r="C69" s="2308"/>
      <c r="D69" s="2308"/>
      <c r="E69" s="882"/>
      <c r="F69" s="1694">
        <f>G68</f>
        <v>25</v>
      </c>
      <c r="G69" s="1699">
        <f t="shared" si="2"/>
        <v>35</v>
      </c>
      <c r="H69" s="1700">
        <f t="shared" si="2"/>
        <v>6.5000000000000002E-2</v>
      </c>
      <c r="I69" s="1516"/>
      <c r="J69" s="1701">
        <f>$L$32*(H65+(G67-F67)*H67+(G68-F68)*H68+(G69-F69)*H69)*$B$64*$C$64</f>
        <v>1603.9763332224202</v>
      </c>
      <c r="K69" s="1698">
        <f>$M$32*(H65+(G67-F67)*H67+(G68-F68)*H68+(G69-F69)*H69)*$B$64*$C$64</f>
        <v>133.66469443520168</v>
      </c>
      <c r="L69" s="1697">
        <f t="shared" si="3"/>
        <v>2004.9704165280252</v>
      </c>
      <c r="M69" s="1698">
        <f t="shared" si="3"/>
        <v>167.0808680440021</v>
      </c>
      <c r="N69" s="458"/>
      <c r="O69" s="887">
        <v>693</v>
      </c>
      <c r="P69" s="467"/>
      <c r="Q69" s="286">
        <f>O69*$Q$63*M69+O69*(1-$Q$63)*K69</f>
        <v>98418.985321319429</v>
      </c>
      <c r="R69" s="458"/>
      <c r="S69" s="891">
        <f>IF(AND(Q69&lt;&gt;0,O69&lt;&gt;0),Q69/(1+$D$17+$D$18+$D$19)/$H$15/O69/30/(($D$25*1000000/$D$8))*1000,0)</f>
        <v>63.780097783542601</v>
      </c>
      <c r="T69" s="467" t="s">
        <v>382</v>
      </c>
      <c r="U69" s="870">
        <f>S69*O69*30*$D$11*(1+$D$24)/1000</f>
        <v>19521.872469067457</v>
      </c>
      <c r="V69" s="467" t="s">
        <v>383</v>
      </c>
      <c r="W69" s="870">
        <f>IF(O69&lt;&gt;0,U69/O69,0)</f>
        <v>28.170090142954482</v>
      </c>
      <c r="X69" s="467" t="s">
        <v>384</v>
      </c>
      <c r="Y69" s="287" t="str">
        <f>IF(O69=0,"-",IF(AND(((F69*(1-$Y$63))&lt;W69),(W69&lt;(G69*(1+$Y$63)))),"OK", "NOK"))</f>
        <v>OK</v>
      </c>
      <c r="Z69" s="284">
        <f>W69/$H$15</f>
        <v>140.85045071477239</v>
      </c>
      <c r="AA69" s="249">
        <f>IF(OR(Y69="OK",Y69="-"),1,0)</f>
        <v>1</v>
      </c>
      <c r="AB69" s="459"/>
    </row>
    <row r="70" spans="1:28" s="262" customFormat="1" ht="24" customHeight="1" outlineLevel="1" x14ac:dyDescent="0.25">
      <c r="A70" s="458"/>
      <c r="B70" s="2308"/>
      <c r="C70" s="2308"/>
      <c r="D70" s="2308"/>
      <c r="E70" s="882"/>
      <c r="F70" s="1694">
        <f>G69</f>
        <v>35</v>
      </c>
      <c r="G70" s="1699">
        <f t="shared" si="2"/>
        <v>50</v>
      </c>
      <c r="H70" s="1700">
        <f t="shared" si="2"/>
        <v>0.06</v>
      </c>
      <c r="I70" s="1516"/>
      <c r="J70" s="1701">
        <f>$L$32*(H65+(G67-F67)*H67+(G68-F68)*H68+(G69-F69)*H69+(G70-F70)*H70)*$B$64*$C$64</f>
        <v>2187.2404543942098</v>
      </c>
      <c r="K70" s="1698">
        <f>$M$32*(H65+(G67-F67)*H67+(G68-F68)*H68+(G69-F69)*H69+(G70-F70)*H70)*$B$64*$C$64</f>
        <v>182.27003786618411</v>
      </c>
      <c r="L70" s="1697">
        <f t="shared" si="3"/>
        <v>2734.0505679927624</v>
      </c>
      <c r="M70" s="1698">
        <f t="shared" si="3"/>
        <v>227.83754733273014</v>
      </c>
      <c r="N70" s="458"/>
      <c r="O70" s="887">
        <v>287</v>
      </c>
      <c r="P70" s="467"/>
      <c r="Q70" s="286">
        <f>O70*$Q$63*M70+O70*(1-$Q$63)*K70</f>
        <v>55580.969671819519</v>
      </c>
      <c r="R70" s="458"/>
      <c r="S70" s="891">
        <f>IF(AND(Q70&lt;&gt;0,O70&lt;&gt;0),Q70/(1+$D$17+$D$18+$D$19)/$H$15/O70/30/(($D$25*1000000/$D$8))*1000,0)</f>
        <v>86.972860613921739</v>
      </c>
      <c r="T70" s="467" t="s">
        <v>382</v>
      </c>
      <c r="U70" s="870">
        <f>S70*O70*30*$D$11*(1+$D$24)/1000</f>
        <v>11024.748915038097</v>
      </c>
      <c r="V70" s="467" t="s">
        <v>383</v>
      </c>
      <c r="W70" s="870">
        <f>IF(O70&lt;&gt;0,U70/O70,0)</f>
        <v>38.413759285847028</v>
      </c>
      <c r="X70" s="467" t="s">
        <v>384</v>
      </c>
      <c r="Y70" s="287" t="str">
        <f>IF(O70=0,"-",IF(AND(((F70*(1-$Y$63))&lt;W70),(W70&lt;(G70*(1+$Y$63)))),"OK", "NOK"))</f>
        <v>OK</v>
      </c>
      <c r="Z70" s="284">
        <f>W70/$H$15</f>
        <v>192.06879642923514</v>
      </c>
      <c r="AA70" s="249">
        <f>IF(OR(Y70="OK",Y70="-"),1,0)</f>
        <v>1</v>
      </c>
      <c r="AB70" s="459"/>
    </row>
    <row r="71" spans="1:28" s="262" customFormat="1" ht="24" customHeight="1" outlineLevel="1" x14ac:dyDescent="0.25">
      <c r="A71" s="458"/>
      <c r="B71" s="2309"/>
      <c r="C71" s="2309"/>
      <c r="D71" s="2309"/>
      <c r="E71" s="882"/>
      <c r="F71" s="1694">
        <f>G70</f>
        <v>50</v>
      </c>
      <c r="G71" s="1699">
        <f t="shared" si="2"/>
        <v>100</v>
      </c>
      <c r="H71" s="1700">
        <f t="shared" si="2"/>
        <v>0.05</v>
      </c>
      <c r="I71" s="1516"/>
      <c r="J71" s="1701">
        <f>$L$32*(H65+(G67-F67)*H67+(G68-F68)*H68+(G69-F69)*H69+(G70-F70)*H70+(G71-F71)*H71)*$B$64*$C$64</f>
        <v>3807.4185687602908</v>
      </c>
      <c r="K71" s="1698">
        <f>$M$32*(H65+(G67-F67)*H67+(G68-F68)*H68+(G69-F69)*H69+(G70-F70)*H70+(G71-F71)*H71)*$B$64*$C$64</f>
        <v>317.28488073002421</v>
      </c>
      <c r="L71" s="1697">
        <f t="shared" si="3"/>
        <v>4759.2732109503631</v>
      </c>
      <c r="M71" s="1698">
        <f t="shared" si="3"/>
        <v>396.60610091253028</v>
      </c>
      <c r="N71" s="458"/>
      <c r="O71" s="887">
        <v>100</v>
      </c>
      <c r="P71" s="467"/>
      <c r="Q71" s="286">
        <f>O71*$Q$63*M71+O71*(1-$Q$63)*K71</f>
        <v>33711.518577565075</v>
      </c>
      <c r="R71" s="458"/>
      <c r="S71" s="891">
        <f>IF(AND(Q71&lt;&gt;0,O71&lt;&gt;0),Q71/(1+$D$17+$D$18+$D$19)/$H$15/O71/30/(($D$25*1000000/$D$8))*1000,0)</f>
        <v>151.39720180941933</v>
      </c>
      <c r="T71" s="467" t="s">
        <v>382</v>
      </c>
      <c r="U71" s="870">
        <f>S71*O71*30*$D$11*(1+$D$24)/1000</f>
        <v>6686.8395793881882</v>
      </c>
      <c r="V71" s="467" t="s">
        <v>383</v>
      </c>
      <c r="W71" s="870">
        <f>IF(O71&lt;&gt;0,U71/O71,0)</f>
        <v>66.868395793881888</v>
      </c>
      <c r="X71" s="467" t="s">
        <v>384</v>
      </c>
      <c r="Y71" s="287" t="str">
        <f>IF(O71=0,"-",IF(AND(((F71*(1-$Y$63))&lt;W71),(W71&lt;(G71*(1+$Y$63)))),"OK", "NOK"))</f>
        <v>OK</v>
      </c>
      <c r="Z71" s="284">
        <f>W71/$H$15</f>
        <v>334.34197896940941</v>
      </c>
      <c r="AA71" s="249">
        <f>IF(OR(Y71="OK",Y71="-"),1,0)</f>
        <v>1</v>
      </c>
      <c r="AB71" s="459"/>
    </row>
    <row r="72" spans="1:28" s="262" customFormat="1" ht="10.15"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customHeight="1" outlineLevel="1" x14ac:dyDescent="0.25">
      <c r="A73" s="458"/>
      <c r="B73" s="2297" t="s">
        <v>762</v>
      </c>
      <c r="C73" s="2298"/>
      <c r="D73" s="2298"/>
      <c r="E73" s="2298"/>
      <c r="F73" s="2298"/>
      <c r="G73" s="2298"/>
      <c r="H73" s="2298"/>
      <c r="I73" s="2298"/>
      <c r="J73" s="2298"/>
      <c r="K73" s="2298"/>
      <c r="L73" s="2298"/>
      <c r="M73" s="2298"/>
      <c r="N73" s="458"/>
      <c r="O73" s="458"/>
      <c r="P73" s="458"/>
      <c r="Q73" s="458"/>
      <c r="R73" s="458"/>
      <c r="S73" s="458"/>
      <c r="T73" s="458"/>
      <c r="U73" s="458"/>
      <c r="V73" s="458"/>
      <c r="W73" s="459"/>
      <c r="X73" s="458"/>
      <c r="Y73" s="459"/>
      <c r="Z73" s="458"/>
      <c r="AA73" s="458"/>
      <c r="AB73" s="473"/>
    </row>
    <row r="74" spans="1:28" s="1656" customFormat="1" ht="25.15" customHeight="1" outlineLevel="1" x14ac:dyDescent="0.45">
      <c r="A74" s="1649"/>
      <c r="B74" s="2299" t="s">
        <v>369</v>
      </c>
      <c r="C74" s="2291"/>
      <c r="D74" s="2291"/>
      <c r="E74" s="2300"/>
      <c r="F74" s="2291"/>
      <c r="G74" s="2291"/>
      <c r="H74" s="2291"/>
      <c r="I74" s="2300"/>
      <c r="J74" s="2291"/>
      <c r="K74" s="2291"/>
      <c r="L74" s="2291"/>
      <c r="M74" s="2291"/>
      <c r="N74" s="1649"/>
      <c r="O74" s="1651">
        <f>G8</f>
        <v>27439.8</v>
      </c>
      <c r="P74" s="1658"/>
      <c r="Q74" s="1649"/>
      <c r="R74" s="1649"/>
      <c r="S74" s="1649"/>
      <c r="T74" s="1649"/>
      <c r="U74" s="1649"/>
      <c r="V74" s="1649"/>
      <c r="W74" s="1654"/>
      <c r="X74" s="1649"/>
      <c r="Y74" s="1654"/>
      <c r="Z74" s="1649"/>
      <c r="AA74" s="1649"/>
      <c r="AB74" s="1655"/>
    </row>
    <row r="75" spans="1:28" s="262" customFormat="1" ht="37.9" customHeight="1" outlineLevel="1" x14ac:dyDescent="0.25">
      <c r="A75" s="459"/>
      <c r="B75" s="2299" t="s">
        <v>370</v>
      </c>
      <c r="C75" s="2299" t="s">
        <v>371</v>
      </c>
      <c r="D75" s="2302"/>
      <c r="E75" s="1515"/>
      <c r="F75" s="2290" t="s">
        <v>372</v>
      </c>
      <c r="G75" s="2291"/>
      <c r="H75" s="2292"/>
      <c r="I75" s="881"/>
      <c r="J75" s="2288" t="s">
        <v>970</v>
      </c>
      <c r="K75" s="2289"/>
      <c r="L75" s="2289"/>
      <c r="M75" s="2289"/>
      <c r="N75" s="458"/>
      <c r="O75" s="265">
        <f>O78+O80+O81+O82+O83+O84</f>
        <v>27440</v>
      </c>
      <c r="P75" s="467"/>
      <c r="Q75" s="889">
        <f>Q78+Q80+Q81+Q82+Q83+Q84</f>
        <v>18594794.344692722</v>
      </c>
      <c r="R75" s="458"/>
      <c r="S75" s="2285">
        <f>IF(AND(Q75&lt;&gt;0,O75&lt;&gt;0),Q75/(1+$D$17+$D$18+$D$19)/(($D$25*1000000/$D$8)),0)</f>
        <v>50105.126392287784</v>
      </c>
      <c r="T75" s="2324" t="s">
        <v>373</v>
      </c>
      <c r="U75" s="2285">
        <f>U78+U80+U81+U82+U83+U84</f>
        <v>737673.12800570868</v>
      </c>
      <c r="V75" s="467" t="s">
        <v>374</v>
      </c>
      <c r="W75" s="2285">
        <f>W78*O78+W80*O80+W81*O81+W82*O82+W83*O83+W84*O84</f>
        <v>737673.12800570868</v>
      </c>
      <c r="X75" s="467" t="s">
        <v>374</v>
      </c>
      <c r="Y75" s="865" t="s">
        <v>375</v>
      </c>
      <c r="Z75" s="151"/>
      <c r="AA75" s="151"/>
      <c r="AB75" s="473"/>
    </row>
    <row r="76" spans="1:28" s="262" customFormat="1" ht="24" customHeight="1" outlineLevel="1" x14ac:dyDescent="0.25">
      <c r="A76" s="459"/>
      <c r="B76" s="2301"/>
      <c r="C76" s="1637" t="s">
        <v>376</v>
      </c>
      <c r="D76" s="1638" t="s">
        <v>377</v>
      </c>
      <c r="E76" s="1516"/>
      <c r="F76" s="2293"/>
      <c r="G76" s="2291"/>
      <c r="H76" s="2292"/>
      <c r="I76" s="882"/>
      <c r="J76" s="2294" t="s">
        <v>378</v>
      </c>
      <c r="K76" s="2295"/>
      <c r="L76" s="2296" t="s">
        <v>379</v>
      </c>
      <c r="M76" s="2295"/>
      <c r="N76" s="458"/>
      <c r="O76" s="894" t="s">
        <v>380</v>
      </c>
      <c r="P76" s="467"/>
      <c r="Q76" s="890">
        <v>0.5</v>
      </c>
      <c r="R76" s="458"/>
      <c r="S76" s="2306"/>
      <c r="T76" s="2325"/>
      <c r="U76" s="2306"/>
      <c r="V76" s="467"/>
      <c r="W76" s="2286"/>
      <c r="X76" s="467"/>
      <c r="Y76" s="893">
        <f>$Y$33</f>
        <v>0.1</v>
      </c>
      <c r="Z76" s="151"/>
      <c r="AA76" s="151"/>
      <c r="AB76" s="473"/>
    </row>
    <row r="77" spans="1:28" s="262" customFormat="1" ht="24" customHeight="1" outlineLevel="1" x14ac:dyDescent="0.25">
      <c r="A77" s="459"/>
      <c r="B77" s="2310">
        <v>2</v>
      </c>
      <c r="C77" s="2310">
        <v>1</v>
      </c>
      <c r="D77" s="2313">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customHeight="1" outlineLevel="1" x14ac:dyDescent="0.25">
      <c r="A78" s="458"/>
      <c r="B78" s="2311"/>
      <c r="C78" s="2315"/>
      <c r="D78" s="2316"/>
      <c r="E78" s="882"/>
      <c r="F78" s="1694" t="s">
        <v>338</v>
      </c>
      <c r="G78" s="1695">
        <v>5</v>
      </c>
      <c r="H78" s="1696">
        <f>0.35-0.25</f>
        <v>9.9999999999999978E-2</v>
      </c>
      <c r="I78" s="1516"/>
      <c r="J78" s="1697">
        <f>$L$32*H78*$B$77*$C$77</f>
        <v>648.07124574643228</v>
      </c>
      <c r="K78" s="1698">
        <f>$M$32*H78*$B$77*$C$77</f>
        <v>54.005937145536016</v>
      </c>
      <c r="L78" s="1697">
        <f>J78*$D$77</f>
        <v>810.08905718304038</v>
      </c>
      <c r="M78" s="1698">
        <f>K78*$D$77</f>
        <v>67.507421431920022</v>
      </c>
      <c r="N78" s="458"/>
      <c r="O78" s="887">
        <v>7692</v>
      </c>
      <c r="P78" s="467"/>
      <c r="Q78" s="286">
        <f>O78*$Q$76*M78+O78*(1-$Q$76)*K78</f>
        <v>467340.37708889588</v>
      </c>
      <c r="R78" s="458"/>
      <c r="S78" s="891">
        <f>IF(AND(Q78&lt;&gt;0,O78&lt;&gt;0),Q78/(1+$D$17+$D$18+$D$19)/O78/30/(($D$25*1000000/$D$8))*1000,0)</f>
        <v>5.4571206659715576</v>
      </c>
      <c r="T78" s="467" t="s">
        <v>382</v>
      </c>
      <c r="U78" s="870">
        <f>S78*O78*30*$D$11*(1+$D$24)/1000</f>
        <v>18539.836011089272</v>
      </c>
      <c r="V78" s="467" t="s">
        <v>383</v>
      </c>
      <c r="W78" s="870">
        <f>IF(O78&lt;&gt;0,U78/O78,0)</f>
        <v>2.4102750924453034</v>
      </c>
      <c r="X78" s="467" t="s">
        <v>383</v>
      </c>
      <c r="Y78" s="287" t="str">
        <f>IF(O78=0,"-", IF(W78&lt;=(G78*(1+$Y$76)),"OK", "NOK"))</f>
        <v>OK</v>
      </c>
      <c r="Z78" s="151"/>
      <c r="AA78" s="249">
        <f>IF(OR(Y78="OK",Y78="-"),1,0)</f>
        <v>1</v>
      </c>
      <c r="AB78" s="473"/>
    </row>
    <row r="79" spans="1:28" s="262" customFormat="1" ht="24" customHeight="1" outlineLevel="1" x14ac:dyDescent="0.25">
      <c r="A79" s="458"/>
      <c r="B79" s="2311"/>
      <c r="C79" s="2315"/>
      <c r="D79" s="2316"/>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customHeight="1" outlineLevel="1" x14ac:dyDescent="0.25">
      <c r="A80" s="458"/>
      <c r="B80" s="2311"/>
      <c r="C80" s="2315"/>
      <c r="D80" s="2316"/>
      <c r="E80" s="882"/>
      <c r="F80" s="1694">
        <f>G78</f>
        <v>5</v>
      </c>
      <c r="G80" s="1695">
        <v>20</v>
      </c>
      <c r="H80" s="1696">
        <f>0.05</f>
        <v>0.05</v>
      </c>
      <c r="I80" s="1516"/>
      <c r="J80" s="1697">
        <f>$L$32*(H78+(G80-F80)*H80)*$B$77*$C$77</f>
        <v>5508.6055888446754</v>
      </c>
      <c r="K80" s="1698">
        <f>$M$32*(H78+(G80-F80)*H80)*$B$77*$C$77</f>
        <v>459.05046573705624</v>
      </c>
      <c r="L80" s="1697">
        <f t="shared" ref="L80:M84" si="4">J80*$D$77</f>
        <v>6885.7569860558442</v>
      </c>
      <c r="M80" s="1698">
        <f t="shared" si="4"/>
        <v>573.81308217132027</v>
      </c>
      <c r="N80" s="458"/>
      <c r="O80" s="887">
        <v>8500</v>
      </c>
      <c r="P80" s="467"/>
      <c r="Q80" s="286">
        <f>O80*$Q$76*M80+O80*(1-$Q$76)*K80</f>
        <v>4389670.0786106</v>
      </c>
      <c r="R80" s="458"/>
      <c r="S80" s="891">
        <f>IF(AND(Q80&lt;&gt;0,O80&lt;&gt;0),Q80/(1+$D$17+$D$18+$D$19)/O80/30/(($D$25*1000000/$D$8))*1000,0)</f>
        <v>46.385525660758248</v>
      </c>
      <c r="T80" s="467" t="s">
        <v>382</v>
      </c>
      <c r="U80" s="870">
        <f>S80*O80*30*$D$11*(1+$D$24)/1000</f>
        <v>174142.37542917317</v>
      </c>
      <c r="V80" s="467" t="s">
        <v>383</v>
      </c>
      <c r="W80" s="870">
        <f>IF(O80&lt;&gt;0,U80/O80,0)</f>
        <v>20.487338285785079</v>
      </c>
      <c r="X80" s="467" t="s">
        <v>383</v>
      </c>
      <c r="Y80" s="287" t="str">
        <f>IF(O80=0,"-",IF(AND(((F80*(1-$Y$76))&lt;W80),(W80&lt;(G80*(1+$Y$76)))),"OK", "NOK"))</f>
        <v>OK</v>
      </c>
      <c r="Z80" s="151"/>
      <c r="AA80" s="249">
        <f>IF(OR(Y80="OK",Y80="-"),1,0)</f>
        <v>1</v>
      </c>
      <c r="AB80" s="473"/>
    </row>
    <row r="81" spans="1:28" s="262" customFormat="1" ht="24" customHeight="1" outlineLevel="1" x14ac:dyDescent="0.25">
      <c r="A81" s="458"/>
      <c r="B81" s="2311"/>
      <c r="C81" s="2315"/>
      <c r="D81" s="2316"/>
      <c r="E81" s="882"/>
      <c r="F81" s="1694">
        <f>G80</f>
        <v>20</v>
      </c>
      <c r="G81" s="1695">
        <v>30</v>
      </c>
      <c r="H81" s="1696">
        <f>0.045</f>
        <v>4.4999999999999998E-2</v>
      </c>
      <c r="I81" s="1516"/>
      <c r="J81" s="1697">
        <f>$L$32*(H78+(G80-F80)*H80+(G81-F81)*H81)*$B$77*$C$77</f>
        <v>8424.9261947036193</v>
      </c>
      <c r="K81" s="1698">
        <f>$M$32*(H78+(G80-F80)*H80+(G81-F81)*H81)*$B$77*$C$77</f>
        <v>702.07718289196828</v>
      </c>
      <c r="L81" s="1697">
        <f t="shared" si="4"/>
        <v>10531.157743379525</v>
      </c>
      <c r="M81" s="1698">
        <f t="shared" si="4"/>
        <v>877.59647861496035</v>
      </c>
      <c r="N81" s="458"/>
      <c r="O81" s="887">
        <v>2573</v>
      </c>
      <c r="P81" s="467"/>
      <c r="Q81" s="286">
        <f>O81*$Q$76*M81+O81*(1-$Q$76)*K81</f>
        <v>2032250.1655286637</v>
      </c>
      <c r="R81" s="458"/>
      <c r="S81" s="891">
        <f>IF(AND(Q81&lt;&gt;0,O81&lt;&gt;0),Q81/(1+$D$17+$D$18+$D$19)/O81/30/(($D$25*1000000/$D$8))*1000,0)</f>
        <v>70.942568657630247</v>
      </c>
      <c r="T81" s="467" t="s">
        <v>382</v>
      </c>
      <c r="U81" s="870">
        <f>S81*O81*30*$D$11*(1+$D$24)/1000</f>
        <v>80621.291567202934</v>
      </c>
      <c r="V81" s="467" t="s">
        <v>383</v>
      </c>
      <c r="W81" s="870">
        <f>IF(O81&lt;&gt;0,U81/O81,0)</f>
        <v>31.333576201788937</v>
      </c>
      <c r="X81" s="467" t="s">
        <v>383</v>
      </c>
      <c r="Y81" s="287" t="str">
        <f>IF(O81=0,"-",IF(AND(((F81*(1-$Y$76))&lt;W81),(W81&lt;(G81*(1+$Y$76)))),"OK", "NOK"))</f>
        <v>OK</v>
      </c>
      <c r="Z81" s="151"/>
      <c r="AA81" s="249">
        <f>IF(OR(Y81="OK",Y81="-"),1,0)</f>
        <v>1</v>
      </c>
      <c r="AB81" s="473"/>
    </row>
    <row r="82" spans="1:28" s="262" customFormat="1" ht="24" customHeight="1" outlineLevel="1" x14ac:dyDescent="0.25">
      <c r="A82" s="458"/>
      <c r="B82" s="2311"/>
      <c r="C82" s="2315"/>
      <c r="D82" s="2316"/>
      <c r="E82" s="882"/>
      <c r="F82" s="1694">
        <f>G81</f>
        <v>30</v>
      </c>
      <c r="G82" s="1695">
        <v>40</v>
      </c>
      <c r="H82" s="1696">
        <f>0.04</f>
        <v>0.04</v>
      </c>
      <c r="I82" s="1516"/>
      <c r="J82" s="1697">
        <f>$L$32*(H78+(G80-F80)*H80+(G81-F81)*H81+(G82-F82)*H82)*$B$77*$C$77</f>
        <v>11017.211177689349</v>
      </c>
      <c r="K82" s="1698">
        <f>$M$32*(H78+(G80-F80)*H80+(G81-F81)*H81+(G82-F82)*H82)*$B$77*$C$77</f>
        <v>918.10093147411237</v>
      </c>
      <c r="L82" s="1697">
        <f t="shared" si="4"/>
        <v>13771.513972111687</v>
      </c>
      <c r="M82" s="1698">
        <f t="shared" si="4"/>
        <v>1147.6261643426405</v>
      </c>
      <c r="N82" s="458"/>
      <c r="O82" s="887">
        <v>4825</v>
      </c>
      <c r="P82" s="467"/>
      <c r="Q82" s="286">
        <f>O82*$Q$76*M82+O82*(1-$Q$76)*K82</f>
        <v>4983566.6186579168</v>
      </c>
      <c r="R82" s="458"/>
      <c r="S82" s="891">
        <f>IF(AND(Q82&lt;&gt;0,O82&lt;&gt;0),Q82/(1+$D$17+$D$18+$D$19)/O82/30/(($D$25*1000000/$D$8))*1000,0)</f>
        <v>92.771051321516509</v>
      </c>
      <c r="T82" s="467" t="s">
        <v>382</v>
      </c>
      <c r="U82" s="870">
        <f>S82*O82*30*$D$11*(1+$D$24)/1000</f>
        <v>197702.81445782605</v>
      </c>
      <c r="V82" s="467" t="s">
        <v>383</v>
      </c>
      <c r="W82" s="870">
        <f>IF(O82&lt;&gt;0,U82/O82,0)</f>
        <v>40.974676571570164</v>
      </c>
      <c r="X82" s="467" t="s">
        <v>383</v>
      </c>
      <c r="Y82" s="287" t="str">
        <f>IF(O82=0,"-",IF(AND(((F82*(1-$Y$76))&lt;W82),(W82&lt;(G82*(1+$Y$76)))),"OK", "NOK"))</f>
        <v>OK</v>
      </c>
      <c r="Z82" s="151"/>
      <c r="AA82" s="249">
        <f>IF(OR(Y82="OK",Y82="-"),1,0)</f>
        <v>1</v>
      </c>
      <c r="AB82" s="473"/>
    </row>
    <row r="83" spans="1:28" s="262" customFormat="1" ht="24" customHeight="1" outlineLevel="1" x14ac:dyDescent="0.25">
      <c r="A83" s="458"/>
      <c r="B83" s="2311"/>
      <c r="C83" s="2315"/>
      <c r="D83" s="2316"/>
      <c r="E83" s="882"/>
      <c r="F83" s="1694">
        <f>G82</f>
        <v>40</v>
      </c>
      <c r="G83" s="1695">
        <v>55</v>
      </c>
      <c r="H83" s="1696">
        <f>0.035</f>
        <v>3.5000000000000003E-2</v>
      </c>
      <c r="I83" s="1516"/>
      <c r="J83" s="1697">
        <f>$L$32*(H78+(G80-F80)*H80+(G81-F81)*H81+(G82-F82)*H82+(G83-F83)*H83)*$B$77*$C$77</f>
        <v>14419.585217858119</v>
      </c>
      <c r="K83" s="1698">
        <f>$M$32*(H78+(G80-F80)*H80+(G81-F81)*H81+(G82-F82)*H82+(G83-F83)*H83)*$B$77*$C$77</f>
        <v>1201.6321014881764</v>
      </c>
      <c r="L83" s="1697">
        <f t="shared" si="4"/>
        <v>18024.481522322647</v>
      </c>
      <c r="M83" s="1698">
        <f t="shared" si="4"/>
        <v>1502.0401268602204</v>
      </c>
      <c r="N83" s="458"/>
      <c r="O83" s="887">
        <v>2000</v>
      </c>
      <c r="P83" s="467"/>
      <c r="Q83" s="286">
        <f>O83*$Q$76*M83+O83*(1-$Q$76)*K83</f>
        <v>2703672.2283483967</v>
      </c>
      <c r="R83" s="458"/>
      <c r="S83" s="891">
        <f>IF(AND(Q83&lt;&gt;0,O83&lt;&gt;0),Q83/(1+$D$17+$D$18+$D$19)/O83/30/(($D$25*1000000/$D$8))*1000,0)</f>
        <v>121.42093481786716</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customHeight="1" outlineLevel="1" x14ac:dyDescent="0.25">
      <c r="A84" s="458"/>
      <c r="B84" s="2311"/>
      <c r="C84" s="2315"/>
      <c r="D84" s="2316"/>
      <c r="E84" s="882"/>
      <c r="F84" s="1694">
        <f>G83</f>
        <v>55</v>
      </c>
      <c r="G84" s="1695">
        <v>100</v>
      </c>
      <c r="H84" s="1696">
        <f>0.03</f>
        <v>0.03</v>
      </c>
      <c r="I84" s="1516"/>
      <c r="J84" s="1697">
        <f>$L$32*(H78+(G80-F80)*H80+(G81-F81)*H81+(G82-F82)*H82+(G83-F83)*H83+(G84-F84)*H84)*$B$77*$C$77</f>
        <v>23168.547035434953</v>
      </c>
      <c r="K84" s="1698">
        <f>$M$32*(H78+(G80-F80)*H80+(G81-F81)*H81+(G82-F82)*H82+(G83-F83)*H83+(G84-F84)*H84)*$B$77*$C$77</f>
        <v>1930.7122529529126</v>
      </c>
      <c r="L84" s="1697">
        <f t="shared" si="4"/>
        <v>28960.683794293691</v>
      </c>
      <c r="M84" s="1698">
        <f t="shared" si="4"/>
        <v>2413.3903161911408</v>
      </c>
      <c r="N84" s="458"/>
      <c r="O84" s="887">
        <v>1850</v>
      </c>
      <c r="P84" s="467"/>
      <c r="Q84" s="286">
        <f>O84*$Q$76*M84+O84*(1-$Q$76)*K84</f>
        <v>4018294.8764582495</v>
      </c>
      <c r="R84" s="458"/>
      <c r="S84" s="891">
        <f>IF(AND(Q84&lt;&gt;0,O84&lt;&gt;0),Q84/(1+$D$17+$D$18+$D$19)/O84/30/(($D$25*1000000/$D$8))*1000,0)</f>
        <v>195.09206380848318</v>
      </c>
      <c r="T84" s="467" t="s">
        <v>382</v>
      </c>
      <c r="U84" s="870">
        <f>S84*O84*30*$D$11*(1+$D$24)/1000</f>
        <v>159409.56892660123</v>
      </c>
      <c r="V84" s="467" t="s">
        <v>383</v>
      </c>
      <c r="W84" s="870">
        <f>IF(O84&lt;&gt;0,U84/O84,0)</f>
        <v>86.167334554919591</v>
      </c>
      <c r="X84" s="467" t="s">
        <v>383</v>
      </c>
      <c r="Y84" s="287" t="str">
        <f>IF(O84=0,"-",IF(AND(((F84*(1-$Y$76))&lt;W84),(W84&lt;(G84*(1+$Y$76)))),"OK", "NOK"))</f>
        <v>OK</v>
      </c>
      <c r="Z84" s="151"/>
      <c r="AA84" s="249">
        <f>IF(OR(Y84="OK",Y84="-"),1,0)</f>
        <v>1</v>
      </c>
      <c r="AB84" s="473"/>
    </row>
    <row r="85" spans="1:28" s="262" customFormat="1" ht="10.15"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customHeight="1" outlineLevel="1" x14ac:dyDescent="0.25">
      <c r="A86" s="458"/>
      <c r="B86" s="2297" t="s">
        <v>387</v>
      </c>
      <c r="C86" s="2298"/>
      <c r="D86" s="2298"/>
      <c r="E86" s="2298"/>
      <c r="F86" s="2298"/>
      <c r="G86" s="2298"/>
      <c r="H86" s="2298"/>
      <c r="I86" s="2298"/>
      <c r="J86" s="2298"/>
      <c r="K86" s="2298"/>
      <c r="L86" s="2298"/>
      <c r="M86" s="2298"/>
      <c r="N86" s="458"/>
      <c r="O86" s="458"/>
      <c r="P86" s="458"/>
      <c r="Q86" s="458"/>
      <c r="R86" s="458"/>
      <c r="S86" s="458"/>
      <c r="T86" s="458"/>
      <c r="U86" s="458"/>
      <c r="V86" s="458"/>
      <c r="W86" s="459"/>
      <c r="X86" s="458"/>
      <c r="Y86" s="459"/>
      <c r="Z86" s="458"/>
      <c r="AA86" s="458"/>
      <c r="AB86" s="473"/>
    </row>
    <row r="87" spans="1:28" s="1656" customFormat="1" ht="25.15" customHeight="1" outlineLevel="1" x14ac:dyDescent="0.45">
      <c r="A87" s="1649"/>
      <c r="B87" s="2299" t="s">
        <v>369</v>
      </c>
      <c r="C87" s="2291"/>
      <c r="D87" s="2291"/>
      <c r="E87" s="2300"/>
      <c r="F87" s="2291"/>
      <c r="G87" s="2291"/>
      <c r="H87" s="2291"/>
      <c r="I87" s="2300"/>
      <c r="J87" s="2291"/>
      <c r="K87" s="2291"/>
      <c r="L87" s="2291"/>
      <c r="M87" s="2291"/>
      <c r="N87" s="1649"/>
      <c r="O87" s="1651">
        <f>G10</f>
        <v>5</v>
      </c>
      <c r="P87" s="1658"/>
      <c r="Q87" s="1649"/>
      <c r="R87" s="1649"/>
      <c r="S87" s="1649"/>
      <c r="T87" s="1649"/>
      <c r="U87" s="1649"/>
      <c r="V87" s="1649"/>
      <c r="W87" s="1654"/>
      <c r="X87" s="1649"/>
      <c r="Y87" s="1654"/>
      <c r="Z87" s="1649"/>
      <c r="AA87" s="1649"/>
      <c r="AB87" s="1655"/>
    </row>
    <row r="88" spans="1:28" s="262" customFormat="1" ht="46.9" customHeight="1" outlineLevel="1" x14ac:dyDescent="0.25">
      <c r="A88" s="458"/>
      <c r="B88" s="2299" t="s">
        <v>370</v>
      </c>
      <c r="C88" s="2299" t="s">
        <v>371</v>
      </c>
      <c r="D88" s="2302"/>
      <c r="E88" s="1515"/>
      <c r="F88" s="2290" t="s">
        <v>372</v>
      </c>
      <c r="G88" s="2291"/>
      <c r="H88" s="2292"/>
      <c r="I88" s="881"/>
      <c r="J88" s="2288" t="s">
        <v>970</v>
      </c>
      <c r="K88" s="2289"/>
      <c r="L88" s="2289"/>
      <c r="M88" s="2289"/>
      <c r="N88" s="458"/>
      <c r="O88" s="287">
        <f>O91+O93+O94+O95+O96</f>
        <v>5</v>
      </c>
      <c r="P88" s="467"/>
      <c r="Q88" s="889">
        <f>Q91+Q93+Q94+Q95+Q96</f>
        <v>15742.730677923752</v>
      </c>
      <c r="R88" s="458"/>
      <c r="S88" s="2285">
        <f>IF(AND(Q88&lt;&gt;0,O88&lt;&gt;0),Q88/(1+$D$17+$D$18+$D$19)/(($D$25*1000000/$D$8)),0)</f>
        <v>42.420017976818919</v>
      </c>
      <c r="T88" s="2324" t="s">
        <v>373</v>
      </c>
      <c r="U88" s="2285">
        <f>U91+U93+U94+U95+U96+Z97</f>
        <v>624.52905728693872</v>
      </c>
      <c r="V88" s="458" t="s">
        <v>374</v>
      </c>
      <c r="W88" s="2285">
        <f>W91*O91+W93*O93+W94*O94+W95*O95+W96*O96</f>
        <v>624.52905728693872</v>
      </c>
      <c r="X88" s="467" t="s">
        <v>374</v>
      </c>
      <c r="Y88" s="865" t="s">
        <v>375</v>
      </c>
      <c r="Z88" s="151"/>
      <c r="AA88" s="151"/>
      <c r="AB88" s="473"/>
    </row>
    <row r="89" spans="1:28" s="262" customFormat="1" ht="24" customHeight="1" outlineLevel="1" x14ac:dyDescent="0.25">
      <c r="A89" s="458"/>
      <c r="B89" s="2301"/>
      <c r="C89" s="1637" t="s">
        <v>376</v>
      </c>
      <c r="D89" s="1638" t="s">
        <v>377</v>
      </c>
      <c r="E89" s="1516"/>
      <c r="F89" s="2293"/>
      <c r="G89" s="2291"/>
      <c r="H89" s="2292"/>
      <c r="I89" s="882"/>
      <c r="J89" s="2294" t="s">
        <v>378</v>
      </c>
      <c r="K89" s="2295"/>
      <c r="L89" s="2296" t="s">
        <v>379</v>
      </c>
      <c r="M89" s="2295"/>
      <c r="N89" s="458"/>
      <c r="O89" s="894" t="s">
        <v>380</v>
      </c>
      <c r="P89" s="467"/>
      <c r="Q89" s="890">
        <v>0.25</v>
      </c>
      <c r="R89" s="458"/>
      <c r="S89" s="2306"/>
      <c r="T89" s="2325"/>
      <c r="U89" s="2306"/>
      <c r="V89" s="458"/>
      <c r="W89" s="2286"/>
      <c r="X89" s="467"/>
      <c r="Y89" s="893">
        <f>$Y$33</f>
        <v>0.1</v>
      </c>
      <c r="Z89" s="151"/>
      <c r="AA89" s="151"/>
      <c r="AB89" s="473"/>
    </row>
    <row r="90" spans="1:28" s="262" customFormat="1" ht="24" customHeight="1" outlineLevel="1" x14ac:dyDescent="0.25">
      <c r="A90" s="458"/>
      <c r="B90" s="2310">
        <v>2</v>
      </c>
      <c r="C90" s="2310">
        <v>1</v>
      </c>
      <c r="D90" s="2313">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customHeight="1" outlineLevel="1" x14ac:dyDescent="0.25">
      <c r="A91" s="458"/>
      <c r="B91" s="2311"/>
      <c r="C91" s="2312"/>
      <c r="D91" s="2314"/>
      <c r="E91" s="882"/>
      <c r="F91" s="1694" t="s">
        <v>338</v>
      </c>
      <c r="G91" s="1695">
        <v>5</v>
      </c>
      <c r="H91" s="1696">
        <v>0.35</v>
      </c>
      <c r="I91" s="1516"/>
      <c r="J91" s="1697">
        <f>$L$32*H91*$B$90*$C$90</f>
        <v>2268.2493601125134</v>
      </c>
      <c r="K91" s="1698">
        <f>$M$32*H91*$B$90*$C$90</f>
        <v>189.0207800093761</v>
      </c>
      <c r="L91" s="1697">
        <f>J91*$D$90</f>
        <v>2721.8992321350161</v>
      </c>
      <c r="M91" s="1698">
        <f>K91*$D$90</f>
        <v>226.82493601125131</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customHeight="1" outlineLevel="1" x14ac:dyDescent="0.25">
      <c r="A92" s="458"/>
      <c r="B92" s="2311"/>
      <c r="C92" s="2312"/>
      <c r="D92" s="2314"/>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customHeight="1" outlineLevel="1" x14ac:dyDescent="0.25">
      <c r="A93" s="458"/>
      <c r="B93" s="2311"/>
      <c r="C93" s="2312"/>
      <c r="D93" s="2314"/>
      <c r="E93" s="882"/>
      <c r="F93" s="1694">
        <f>G91</f>
        <v>5</v>
      </c>
      <c r="G93" s="1695">
        <v>30</v>
      </c>
      <c r="H93" s="1696">
        <v>0.05</v>
      </c>
      <c r="I93" s="1516"/>
      <c r="J93" s="1697">
        <f>$L$32*(H91+(G93-F93)*H93)*$B$90*$C$90</f>
        <v>10369.139931942918</v>
      </c>
      <c r="K93" s="1698">
        <f>$M$32*(H91+(G93-F93)*H93)*$B$90*$C$90</f>
        <v>864.09499432857649</v>
      </c>
      <c r="L93" s="1697">
        <f t="shared" ref="L93:M96" si="5">J93*$D$90</f>
        <v>12442.967918331502</v>
      </c>
      <c r="M93" s="1698">
        <f t="shared" si="5"/>
        <v>1036.9139931942918</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customHeight="1" outlineLevel="1" x14ac:dyDescent="0.25">
      <c r="A94" s="458"/>
      <c r="B94" s="2311"/>
      <c r="C94" s="2312"/>
      <c r="D94" s="2314"/>
      <c r="E94" s="882"/>
      <c r="F94" s="1694">
        <f>G93</f>
        <v>30</v>
      </c>
      <c r="G94" s="1695">
        <v>100</v>
      </c>
      <c r="H94" s="1696">
        <v>0.03</v>
      </c>
      <c r="I94" s="1516"/>
      <c r="J94" s="1697">
        <f>$L$32*(H91+(G93-F93)*H93+(G94-F94)*H94)*$B$90*$C$90</f>
        <v>23978.636092617999</v>
      </c>
      <c r="K94" s="1698">
        <f>$M$32*(H91+(G93-F93)*H93+(G94-F94)*H94)*$B$90*$C$90</f>
        <v>1998.2196743848331</v>
      </c>
      <c r="L94" s="1697">
        <f t="shared" si="5"/>
        <v>28774.363311141598</v>
      </c>
      <c r="M94" s="1698">
        <f t="shared" si="5"/>
        <v>2397.8636092617994</v>
      </c>
      <c r="N94" s="458"/>
      <c r="O94" s="887">
        <v>4</v>
      </c>
      <c r="P94" s="467"/>
      <c r="Q94" s="286">
        <f>O94*$Q$76*M94+O94*(1-$Q$76)*K94</f>
        <v>8792.166567293265</v>
      </c>
      <c r="R94" s="458"/>
      <c r="S94" s="891">
        <f>IF(AND(Q94&lt;&gt;0,O94&lt;&gt;0),Q94/(1+$D$17+$D$18+$D$19)/O94/30/(($D$25*1000000/$D$8))*1000,0)</f>
        <v>197.42649876003773</v>
      </c>
      <c r="T94" s="467" t="s">
        <v>382</v>
      </c>
      <c r="U94" s="870">
        <f>S94*O94*30*$D$11*(1+$D$24)/1000</f>
        <v>348.79358671119593</v>
      </c>
      <c r="V94" s="458" t="s">
        <v>383</v>
      </c>
      <c r="W94" s="870">
        <f>IF(O94&lt;&gt;0,U94/O94,0)</f>
        <v>87.198396677798982</v>
      </c>
      <c r="X94" s="467" t="s">
        <v>383</v>
      </c>
      <c r="Y94" s="265" t="str">
        <f>IF(O94=0,"-",IF(AND(((F94*(1-$Y$89))&lt;W94),(W94&lt;(G94*(1+$Y$89)))),"OK", "NOK"))</f>
        <v>OK</v>
      </c>
      <c r="Z94" s="151"/>
      <c r="AA94" s="249">
        <f>IF(OR(Y94="OK",Y94="-"),1,0)</f>
        <v>1</v>
      </c>
      <c r="AB94" s="473"/>
    </row>
    <row r="95" spans="1:28" s="262" customFormat="1" ht="24" customHeight="1" outlineLevel="1" x14ac:dyDescent="0.25">
      <c r="A95" s="458"/>
      <c r="B95" s="2311"/>
      <c r="C95" s="2312"/>
      <c r="D95" s="2314"/>
      <c r="E95" s="882"/>
      <c r="F95" s="1694">
        <f>G94</f>
        <v>100</v>
      </c>
      <c r="G95" s="1695">
        <v>500</v>
      </c>
      <c r="H95" s="1696">
        <v>0.02</v>
      </c>
      <c r="I95" s="1516"/>
      <c r="J95" s="1697">
        <f>$L$32*(H91+(G93-F93)*H93+(G94-F94)*H94+(G95-F95)*H95)*$B$90*$C$90</f>
        <v>75824.335752332583</v>
      </c>
      <c r="K95" s="1698">
        <f>$M$32*(H91+(G93-F93)*H93+(G94-F94)*H94+(G95-F95)*H95)*$B$90*$C$90</f>
        <v>6318.694646027715</v>
      </c>
      <c r="L95" s="1697">
        <f t="shared" si="5"/>
        <v>90989.202902799094</v>
      </c>
      <c r="M95" s="1698">
        <f t="shared" si="5"/>
        <v>7582.4335752332572</v>
      </c>
      <c r="N95" s="458"/>
      <c r="O95" s="887">
        <v>1</v>
      </c>
      <c r="P95" s="467"/>
      <c r="Q95" s="286">
        <f>O95*$Q$76*M95+O95*(1-$Q$76)*K95</f>
        <v>6950.5641106304865</v>
      </c>
      <c r="R95" s="458"/>
      <c r="S95" s="891">
        <f>IF(AND(Q95&lt;&gt;0,O95&lt;&gt;0),Q95/(1+$D$17+$D$18+$D$19)/O95/30/(($D$25*1000000/$D$8))*1000,0)</f>
        <v>624.29460418714632</v>
      </c>
      <c r="T95" s="467" t="s">
        <v>382</v>
      </c>
      <c r="U95" s="870">
        <f>S95*O95*30*$D$11*(1+$D$24)/1000</f>
        <v>275.73547057574274</v>
      </c>
      <c r="V95" s="458" t="s">
        <v>383</v>
      </c>
      <c r="W95" s="870">
        <f>IF(O95&lt;&gt;0,U95/O95,0)</f>
        <v>275.73547057574274</v>
      </c>
      <c r="X95" s="467" t="s">
        <v>383</v>
      </c>
      <c r="Y95" s="265" t="str">
        <f>IF(O95=0,"-",IF(AND(((F95*(1-$Y$89))&lt;W95),(W95&lt;(G95*(1+$Y$89)))),"OK", "NOK"))</f>
        <v>OK</v>
      </c>
      <c r="Z95" s="151"/>
      <c r="AA95" s="249">
        <f>IF(OR(Y95="OK",Y95="-"),1,0)</f>
        <v>1</v>
      </c>
      <c r="AB95" s="473"/>
    </row>
    <row r="96" spans="1:28" s="262" customFormat="1" ht="24" customHeight="1" outlineLevel="1" x14ac:dyDescent="0.25">
      <c r="A96" s="458"/>
      <c r="B96" s="2311"/>
      <c r="C96" s="2312"/>
      <c r="D96" s="2314"/>
      <c r="E96" s="882"/>
      <c r="F96" s="1694">
        <f>G95</f>
        <v>500</v>
      </c>
      <c r="G96" s="1695">
        <v>1000</v>
      </c>
      <c r="H96" s="1696">
        <v>0.01</v>
      </c>
      <c r="I96" s="1516"/>
      <c r="J96" s="1697">
        <f>$L$32*(H91+(G93-F93)*H93+(G94-F94)*H94+(G95-F95)*H95+(G96-F96)*H96)*$B$90*$C$90</f>
        <v>108227.8980396542</v>
      </c>
      <c r="K96" s="1698">
        <f>$M$32*(H91+(G93-F93)*H93+(G94-F94)*H94+(G95-F95)*H95+(G96-F96)*H96)*$B$90*$C$90</f>
        <v>9018.9915033045163</v>
      </c>
      <c r="L96" s="1697">
        <f t="shared" si="5"/>
        <v>129873.47764758504</v>
      </c>
      <c r="M96" s="1698">
        <f t="shared" si="5"/>
        <v>10822.789803965419</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E16" sqref="E16"/>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1099</v>
      </c>
      <c r="E1" s="1588"/>
      <c r="F1" s="1588"/>
      <c r="G1" s="1588"/>
      <c r="H1" s="1588"/>
      <c r="I1" s="1588"/>
      <c r="J1" s="1588"/>
      <c r="K1" s="1588"/>
      <c r="L1" s="1588"/>
      <c r="M1" s="1588"/>
      <c r="N1" s="1588"/>
      <c r="O1" s="1588"/>
      <c r="P1" s="1588"/>
      <c r="Q1" s="1588"/>
      <c r="R1" s="1589"/>
      <c r="S1" s="1588"/>
    </row>
    <row r="2" spans="1:20" s="206" customFormat="1" ht="25.15" customHeight="1" x14ac:dyDescent="0.25">
      <c r="B2" s="2359" t="s">
        <v>869</v>
      </c>
      <c r="C2" s="2359"/>
      <c r="D2" s="2359"/>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9"/>
      <c r="C3" s="2359"/>
      <c r="D3" s="2359"/>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9"/>
      <c r="C4" s="2359"/>
      <c r="D4" s="2359"/>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1101</v>
      </c>
      <c r="D6" s="1977" t="s">
        <v>1100</v>
      </c>
      <c r="E6" s="1484"/>
      <c r="F6" s="2356" t="s">
        <v>389</v>
      </c>
      <c r="G6" s="2357"/>
      <c r="H6" s="2358"/>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805.44361361788049</v>
      </c>
      <c r="H8" s="1965">
        <f>SUMIF(C33:BC33,1,C178:BC178)</f>
        <v>9742.8624906519781</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4.4252548186969332E-2</v>
      </c>
      <c r="H9" s="1968"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f>G9-C28</f>
        <v>-5.1860451813030659E-2</v>
      </c>
      <c r="H10" s="1968" t="e">
        <f>H9-C28</f>
        <v>#NUM!</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1246.2213817844295</v>
      </c>
      <c r="H11" s="1970">
        <f>SUMIF(C33:BC33,1,C63:BC63)</f>
        <v>1246.2213817844295</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1101</v>
      </c>
      <c r="D12" s="1979" t="s">
        <v>1100</v>
      </c>
      <c r="F12" s="1966" t="s">
        <v>397</v>
      </c>
      <c r="G12" s="1967">
        <f>G8/G11</f>
        <v>0.64630861369477421</v>
      </c>
      <c r="H12" s="1968">
        <f>H8/H11</f>
        <v>7.8179227487667129</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20.000021787997341</v>
      </c>
      <c r="H13" s="1973">
        <f>IF(H8&lt;0,SUM(C183:BC183),SUM(C183:BC183))</f>
        <v>-0.30595244047919934</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1.6463086136947742</v>
      </c>
      <c r="H14" s="1976">
        <f>(SUMIF(C33:BC33,1,C178:BC178)+SUMIF(C33:BC33,1,C63:BC63))/SUMIF(C33:BC33,1,C63:BC63)</f>
        <v>8.8179227487667138</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70"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71"/>
      <c r="G17" s="2374" t="s">
        <v>873</v>
      </c>
      <c r="H17" s="2376"/>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71"/>
      <c r="G18" s="2375"/>
      <c r="H18" s="2377"/>
      <c r="I18" s="1941"/>
      <c r="J18" s="1469"/>
      <c r="K18" s="293"/>
      <c r="L18" s="293"/>
      <c r="M18" s="293"/>
      <c r="N18" s="293"/>
      <c r="O18" s="293"/>
      <c r="P18" s="293"/>
      <c r="Q18" s="293"/>
      <c r="R18" s="293"/>
      <c r="S18" s="295"/>
    </row>
    <row r="19" spans="1:58" s="206" customFormat="1" ht="2.65" customHeight="1" outlineLevel="1" x14ac:dyDescent="0.25">
      <c r="B19" s="1918"/>
      <c r="C19" s="1954"/>
      <c r="D19" s="1932"/>
      <c r="F19" s="2371"/>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1104</v>
      </c>
      <c r="D20" s="2004" t="s">
        <v>1104</v>
      </c>
      <c r="F20" s="2371"/>
      <c r="G20" s="1473">
        <v>4.3499999999999997E-2</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4.3499999999999997E-2</v>
      </c>
      <c r="D21" s="2095">
        <v>4.3499999999999997E-2</v>
      </c>
      <c r="E21" s="206" t="s">
        <v>399</v>
      </c>
      <c r="F21" s="2371"/>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71"/>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72"/>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73" t="s">
        <v>1102</v>
      </c>
      <c r="G26" s="2365"/>
      <c r="H26" s="1470">
        <f>'R&amp;C-Painel de Controle'!D33</f>
        <v>120.52582597414886</v>
      </c>
      <c r="I26" s="1608" t="s">
        <v>295</v>
      </c>
      <c r="J26" s="1606"/>
      <c r="K26" s="2364" t="s">
        <v>653</v>
      </c>
      <c r="L26" s="2365"/>
      <c r="M26" s="1471">
        <f>G8</f>
        <v>805.44361361788049</v>
      </c>
      <c r="N26" s="1608" t="s">
        <v>304</v>
      </c>
      <c r="O26" s="2354" t="s">
        <v>654</v>
      </c>
      <c r="P26" s="2354"/>
      <c r="Q26" s="2355"/>
      <c r="R26" s="1472">
        <f>G14</f>
        <v>1.6463086136947742</v>
      </c>
      <c r="S26" s="1610" t="s">
        <v>195</v>
      </c>
      <c r="T26" s="293"/>
    </row>
    <row r="27" spans="1:58" s="206" customFormat="1" ht="19.899999999999999" customHeight="1" outlineLevel="1" thickTop="1" x14ac:dyDescent="0.25">
      <c r="B27" s="1924" t="s">
        <v>401</v>
      </c>
      <c r="C27" s="1961" t="s">
        <v>289</v>
      </c>
      <c r="D27" s="1981" t="s">
        <v>289</v>
      </c>
      <c r="F27" s="2369" t="s">
        <v>655</v>
      </c>
      <c r="G27" s="2367"/>
      <c r="H27" s="911">
        <f>'R&amp;C-Painel de Controle'!D32</f>
        <v>35</v>
      </c>
      <c r="I27" s="1609" t="s">
        <v>388</v>
      </c>
      <c r="J27" s="1607"/>
      <c r="K27" s="2366" t="s">
        <v>656</v>
      </c>
      <c r="L27" s="2367"/>
      <c r="M27" s="912">
        <f>G9</f>
        <v>4.4252548186969332E-2</v>
      </c>
      <c r="N27" s="1609" t="s">
        <v>195</v>
      </c>
      <c r="O27" s="1607"/>
      <c r="P27" s="1611"/>
      <c r="Q27" s="1612"/>
      <c r="R27" s="1612"/>
      <c r="S27" s="1613"/>
      <c r="T27" s="293"/>
    </row>
    <row r="28" spans="1:58" s="206" customFormat="1" ht="18" customHeight="1" outlineLevel="1" thickBot="1" x14ac:dyDescent="0.3">
      <c r="B28" s="1928" t="s">
        <v>668</v>
      </c>
      <c r="C28" s="1962">
        <f>C14*C16+C18*C21*(1-(C25+C26))</f>
        <v>9.611299999999999E-2</v>
      </c>
      <c r="D28" s="1933">
        <f>D14*D16+D18*D21*(1-(D25+D26))</f>
        <v>5.7596999999999995E-2</v>
      </c>
      <c r="E28" s="206" t="s">
        <v>399</v>
      </c>
      <c r="F28" s="2360" t="s">
        <v>657</v>
      </c>
      <c r="G28" s="2361"/>
      <c r="H28" s="1988">
        <f>H26*('R&amp;C-Painel de Controle'!D7*30/'R&amp;C-Painel de Controle'!D6)</f>
        <v>43.923726111031733</v>
      </c>
      <c r="I28" s="1989" t="s">
        <v>299</v>
      </c>
      <c r="J28" s="1607"/>
      <c r="K28" s="2368" t="s">
        <v>658</v>
      </c>
      <c r="L28" s="2361"/>
      <c r="M28" s="1990">
        <f>G13</f>
        <v>20.000021787997341</v>
      </c>
      <c r="N28" s="1609" t="s">
        <v>388</v>
      </c>
      <c r="O28" s="1607"/>
      <c r="P28" s="1607"/>
      <c r="Q28" s="1607"/>
      <c r="R28" s="1607"/>
      <c r="S28" s="1613"/>
      <c r="T28" s="293"/>
    </row>
    <row r="29" spans="1:58" s="206" customFormat="1" ht="18" customHeight="1" outlineLevel="1" thickTop="1" thickBot="1" x14ac:dyDescent="0.3">
      <c r="B29" s="324"/>
      <c r="F29" s="2362" t="s">
        <v>1103</v>
      </c>
      <c r="G29" s="2363"/>
      <c r="H29" s="1991">
        <f>'R&amp;C-Painel de Controle'!H33</f>
        <v>314.66246540689212</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5356.1835986224387</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1560000</v>
      </c>
      <c r="D35" s="304">
        <f>C35*(1+$C$8)</f>
        <v>1567332</v>
      </c>
      <c r="E35" s="304">
        <f t="shared" ref="E35:AI35" si="4">D35*(1+$C$8)</f>
        <v>1574698.4604</v>
      </c>
      <c r="F35" s="304">
        <f t="shared" si="4"/>
        <v>1582099.5431638798</v>
      </c>
      <c r="G35" s="304">
        <f t="shared" si="4"/>
        <v>1589535.4110167499</v>
      </c>
      <c r="H35" s="304">
        <f t="shared" si="4"/>
        <v>1597006.2274485286</v>
      </c>
      <c r="I35" s="304">
        <f t="shared" si="4"/>
        <v>1604512.1567175365</v>
      </c>
      <c r="J35" s="304">
        <f t="shared" si="4"/>
        <v>1612053.3638541088</v>
      </c>
      <c r="K35" s="304">
        <f t="shared" si="4"/>
        <v>1619630.014664223</v>
      </c>
      <c r="L35" s="304">
        <f t="shared" si="4"/>
        <v>1627242.2757331447</v>
      </c>
      <c r="M35" s="304">
        <f t="shared" si="4"/>
        <v>1634890.3144290904</v>
      </c>
      <c r="N35" s="304">
        <f t="shared" si="4"/>
        <v>1642574.298906907</v>
      </c>
      <c r="O35" s="304">
        <f t="shared" si="4"/>
        <v>1650294.3981117692</v>
      </c>
      <c r="P35" s="304">
        <f t="shared" si="4"/>
        <v>1658050.7817828944</v>
      </c>
      <c r="Q35" s="304">
        <f t="shared" si="4"/>
        <v>1665843.6204572739</v>
      </c>
      <c r="R35" s="304">
        <f t="shared" si="4"/>
        <v>1673673.0854734229</v>
      </c>
      <c r="S35" s="304">
        <f t="shared" si="4"/>
        <v>1681539.3489751478</v>
      </c>
      <c r="T35" s="304">
        <f t="shared" si="4"/>
        <v>1689442.5839153309</v>
      </c>
      <c r="U35" s="304">
        <f t="shared" si="4"/>
        <v>1697382.9640597329</v>
      </c>
      <c r="V35" s="304">
        <f t="shared" si="4"/>
        <v>1705360.6639908135</v>
      </c>
      <c r="W35" s="304">
        <f t="shared" si="4"/>
        <v>1713375.8591115703</v>
      </c>
      <c r="X35" s="304">
        <f t="shared" si="4"/>
        <v>1721428.7256493946</v>
      </c>
      <c r="Y35" s="304">
        <f t="shared" si="4"/>
        <v>1729519.4406599465</v>
      </c>
      <c r="Z35" s="304">
        <f t="shared" si="4"/>
        <v>1737648.1820310482</v>
      </c>
      <c r="AA35" s="304">
        <f t="shared" si="4"/>
        <v>1745815.128486594</v>
      </c>
      <c r="AB35" s="304">
        <f t="shared" si="4"/>
        <v>1754020.4595904809</v>
      </c>
      <c r="AC35" s="304">
        <f t="shared" si="4"/>
        <v>1762264.3557505561</v>
      </c>
      <c r="AD35" s="304">
        <f t="shared" si="4"/>
        <v>1770546.9982225837</v>
      </c>
      <c r="AE35" s="304">
        <f t="shared" si="4"/>
        <v>1778868.5691142296</v>
      </c>
      <c r="AF35" s="304">
        <f t="shared" si="4"/>
        <v>1787229.2513890665</v>
      </c>
      <c r="AG35" s="304">
        <f t="shared" si="4"/>
        <v>1795629.2288705949</v>
      </c>
      <c r="AH35" s="304">
        <f t="shared" si="4"/>
        <v>1804068.6862462866</v>
      </c>
      <c r="AI35" s="304">
        <f t="shared" si="4"/>
        <v>1812547.809071644</v>
      </c>
      <c r="AJ35" s="304">
        <f t="shared" ref="AJ35:BC35" si="5">AI35*(1+$C$8)</f>
        <v>1821066.7837742805</v>
      </c>
      <c r="AK35" s="304">
        <f t="shared" si="5"/>
        <v>1829625.7976580195</v>
      </c>
      <c r="AL35" s="304">
        <f t="shared" si="5"/>
        <v>1838225.038907012</v>
      </c>
      <c r="AM35" s="304">
        <f t="shared" si="5"/>
        <v>1846864.6965898748</v>
      </c>
      <c r="AN35" s="304">
        <f t="shared" si="5"/>
        <v>1855544.9606638472</v>
      </c>
      <c r="AO35" s="304">
        <f t="shared" si="5"/>
        <v>1864266.0219789671</v>
      </c>
      <c r="AP35" s="304">
        <f t="shared" si="5"/>
        <v>1873028.0722822682</v>
      </c>
      <c r="AQ35" s="304">
        <f t="shared" si="5"/>
        <v>1881831.3042219947</v>
      </c>
      <c r="AR35" s="304">
        <f t="shared" si="5"/>
        <v>1890675.9113518379</v>
      </c>
      <c r="AS35" s="304">
        <f t="shared" si="5"/>
        <v>1899562.0881351915</v>
      </c>
      <c r="AT35" s="304">
        <f t="shared" si="5"/>
        <v>1908490.0299494267</v>
      </c>
      <c r="AU35" s="304">
        <f t="shared" si="5"/>
        <v>1917459.9330901888</v>
      </c>
      <c r="AV35" s="304">
        <f t="shared" si="5"/>
        <v>1926471.9947757125</v>
      </c>
      <c r="AW35" s="304">
        <f t="shared" si="5"/>
        <v>1935526.4131511583</v>
      </c>
      <c r="AX35" s="304">
        <f t="shared" si="5"/>
        <v>1944623.3872929686</v>
      </c>
      <c r="AY35" s="304">
        <f t="shared" si="5"/>
        <v>1953763.1172132455</v>
      </c>
      <c r="AZ35" s="304">
        <f t="shared" si="5"/>
        <v>1962945.8038641475</v>
      </c>
      <c r="BA35" s="304">
        <f t="shared" si="5"/>
        <v>1972171.6491423089</v>
      </c>
      <c r="BB35" s="304">
        <f t="shared" si="5"/>
        <v>1981440.8558932776</v>
      </c>
      <c r="BC35" s="304">
        <f t="shared" si="5"/>
        <v>1990753.6279159759</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1565000</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1572355.5</v>
      </c>
      <c r="G42" s="333">
        <f t="shared" si="10"/>
        <v>1572355.5</v>
      </c>
      <c r="H42" s="333">
        <f t="shared" si="10"/>
        <v>1572355.5</v>
      </c>
      <c r="I42" s="333">
        <f t="shared" si="10"/>
        <v>1572355.5</v>
      </c>
      <c r="J42" s="333">
        <f t="shared" si="10"/>
        <v>1572355.5</v>
      </c>
      <c r="K42" s="333">
        <f t="shared" si="10"/>
        <v>1572355.5</v>
      </c>
      <c r="L42" s="333">
        <f t="shared" si="10"/>
        <v>1572355.5</v>
      </c>
      <c r="M42" s="333">
        <f t="shared" si="10"/>
        <v>1572355.5</v>
      </c>
      <c r="N42" s="333">
        <f t="shared" si="10"/>
        <v>1572355.5</v>
      </c>
      <c r="O42" s="333">
        <f t="shared" si="10"/>
        <v>1572355.5</v>
      </c>
      <c r="P42" s="333">
        <f t="shared" si="10"/>
        <v>1572355.5</v>
      </c>
      <c r="Q42" s="333">
        <f t="shared" si="10"/>
        <v>1572355.5</v>
      </c>
      <c r="R42" s="333">
        <f t="shared" ref="R42:BC42" si="11">Q42*(1+$C$8)</f>
        <v>1579745.5708499998</v>
      </c>
      <c r="S42" s="333">
        <f t="shared" si="11"/>
        <v>1587170.3750329947</v>
      </c>
      <c r="T42" s="333">
        <f t="shared" si="11"/>
        <v>1594630.0757956496</v>
      </c>
      <c r="U42" s="333">
        <f t="shared" si="11"/>
        <v>1602124.837151889</v>
      </c>
      <c r="V42" s="333">
        <f t="shared" si="11"/>
        <v>1609654.8238865028</v>
      </c>
      <c r="W42" s="333">
        <f t="shared" si="11"/>
        <v>1617220.2015587692</v>
      </c>
      <c r="X42" s="333">
        <f t="shared" si="11"/>
        <v>1624821.1365060953</v>
      </c>
      <c r="Y42" s="333">
        <f t="shared" si="11"/>
        <v>1632457.7958476739</v>
      </c>
      <c r="Z42" s="333">
        <f t="shared" si="11"/>
        <v>1640130.3474881579</v>
      </c>
      <c r="AA42" s="333">
        <f t="shared" si="11"/>
        <v>1647838.9601213522</v>
      </c>
      <c r="AB42" s="333">
        <f t="shared" si="11"/>
        <v>1655583.8032339225</v>
      </c>
      <c r="AC42" s="333">
        <f t="shared" si="11"/>
        <v>1663365.0471091217</v>
      </c>
      <c r="AD42" s="333">
        <f t="shared" si="11"/>
        <v>1671182.8628305343</v>
      </c>
      <c r="AE42" s="333">
        <f t="shared" si="11"/>
        <v>1679037.4222858378</v>
      </c>
      <c r="AF42" s="333">
        <f t="shared" si="11"/>
        <v>1686928.8981705811</v>
      </c>
      <c r="AG42" s="333">
        <f t="shared" si="11"/>
        <v>1694857.4639919826</v>
      </c>
      <c r="AH42" s="333">
        <f t="shared" si="11"/>
        <v>1702823.2940727449</v>
      </c>
      <c r="AI42" s="333">
        <f t="shared" si="11"/>
        <v>1710826.5635548867</v>
      </c>
      <c r="AJ42" s="333">
        <f t="shared" si="11"/>
        <v>1718867.4484035945</v>
      </c>
      <c r="AK42" s="333">
        <f t="shared" si="11"/>
        <v>1726946.1254110914</v>
      </c>
      <c r="AL42" s="333">
        <f t="shared" si="11"/>
        <v>1735062.7722005234</v>
      </c>
      <c r="AM42" s="333">
        <f t="shared" si="11"/>
        <v>1743217.5672298658</v>
      </c>
      <c r="AN42" s="333">
        <f t="shared" si="11"/>
        <v>1751410.6897958461</v>
      </c>
      <c r="AO42" s="333">
        <f t="shared" si="11"/>
        <v>1759642.3200378865</v>
      </c>
      <c r="AP42" s="333">
        <f t="shared" si="11"/>
        <v>1767912.6389420645</v>
      </c>
      <c r="AQ42" s="333">
        <f t="shared" si="11"/>
        <v>1776221.828345092</v>
      </c>
      <c r="AR42" s="333">
        <f t="shared" si="11"/>
        <v>1784570.0709383138</v>
      </c>
      <c r="AS42" s="333">
        <f t="shared" si="11"/>
        <v>1792957.5502717239</v>
      </c>
      <c r="AT42" s="333">
        <f t="shared" si="11"/>
        <v>1801384.4507580008</v>
      </c>
      <c r="AU42" s="333">
        <f t="shared" si="11"/>
        <v>1809850.9576765634</v>
      </c>
      <c r="AV42" s="333">
        <f t="shared" si="11"/>
        <v>1818357.257177643</v>
      </c>
      <c r="AW42" s="333">
        <f t="shared" si="11"/>
        <v>1826903.5362863778</v>
      </c>
      <c r="AX42" s="333">
        <f t="shared" si="11"/>
        <v>1835489.9829069236</v>
      </c>
      <c r="AY42" s="333">
        <f t="shared" si="11"/>
        <v>1844116.785826586</v>
      </c>
      <c r="AZ42" s="333">
        <f t="shared" si="11"/>
        <v>1852784.1347199709</v>
      </c>
      <c r="BA42" s="333">
        <f t="shared" si="11"/>
        <v>1861492.2201531546</v>
      </c>
      <c r="BB42" s="333">
        <f t="shared" si="11"/>
        <v>1870241.2335878743</v>
      </c>
      <c r="BC42" s="333">
        <f t="shared" si="11"/>
        <v>1879031.3673857371</v>
      </c>
      <c r="BD42" s="305"/>
      <c r="BE42" s="305"/>
      <c r="BF42" s="305"/>
    </row>
    <row r="43" spans="1:58" s="206" customFormat="1" ht="18" hidden="1" customHeight="1" outlineLevel="1" x14ac:dyDescent="0.25">
      <c r="B43" s="906" t="str">
        <f>B71</f>
        <v>Produção de CDR TM — Trat. Mec.</v>
      </c>
      <c r="C43" s="325" t="str">
        <f>C71</f>
        <v>Sim</v>
      </c>
      <c r="D43" s="325">
        <f>'R&amp;C-Painel de Controle'!H58</f>
        <v>591570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594350.37899999996</v>
      </c>
      <c r="G45" s="333">
        <f t="shared" si="13"/>
        <v>594350.37899999996</v>
      </c>
      <c r="H45" s="333">
        <f t="shared" si="13"/>
        <v>594350.37899999996</v>
      </c>
      <c r="I45" s="333">
        <f t="shared" si="13"/>
        <v>594350.37899999996</v>
      </c>
      <c r="J45" s="333">
        <f t="shared" si="13"/>
        <v>594350.37899999996</v>
      </c>
      <c r="K45" s="333">
        <f t="shared" si="13"/>
        <v>594350.37899999996</v>
      </c>
      <c r="L45" s="333">
        <f t="shared" si="13"/>
        <v>594350.37899999996</v>
      </c>
      <c r="M45" s="333">
        <f t="shared" si="13"/>
        <v>594350.37899999996</v>
      </c>
      <c r="N45" s="333">
        <f t="shared" si="13"/>
        <v>594350.37899999996</v>
      </c>
      <c r="O45" s="333">
        <f t="shared" si="13"/>
        <v>594350.37899999996</v>
      </c>
      <c r="P45" s="333">
        <f t="shared" si="13"/>
        <v>594350.37899999996</v>
      </c>
      <c r="Q45" s="333">
        <f t="shared" si="13"/>
        <v>594350.37899999996</v>
      </c>
      <c r="R45" s="333">
        <f t="shared" ref="R45:BC45" si="14">Q45*(1+$C$8)</f>
        <v>597143.82578129997</v>
      </c>
      <c r="S45" s="333">
        <f t="shared" si="14"/>
        <v>599950.401762472</v>
      </c>
      <c r="T45" s="333">
        <f t="shared" si="14"/>
        <v>602770.16865075554</v>
      </c>
      <c r="U45" s="333">
        <f t="shared" si="14"/>
        <v>605603.18844341405</v>
      </c>
      <c r="V45" s="333">
        <f t="shared" si="14"/>
        <v>608449.52342909807</v>
      </c>
      <c r="W45" s="333">
        <f t="shared" si="14"/>
        <v>611309.23618921475</v>
      </c>
      <c r="X45" s="333">
        <f t="shared" si="14"/>
        <v>614182.38959930406</v>
      </c>
      <c r="Y45" s="333">
        <f t="shared" si="14"/>
        <v>617069.04683042073</v>
      </c>
      <c r="Z45" s="333">
        <f t="shared" si="14"/>
        <v>619969.27135052369</v>
      </c>
      <c r="AA45" s="333">
        <f t="shared" si="14"/>
        <v>622883.12692587113</v>
      </c>
      <c r="AB45" s="333">
        <f t="shared" si="14"/>
        <v>625810.67762242269</v>
      </c>
      <c r="AC45" s="333">
        <f t="shared" si="14"/>
        <v>628751.98780724802</v>
      </c>
      <c r="AD45" s="333">
        <f t="shared" si="14"/>
        <v>631707.12214994209</v>
      </c>
      <c r="AE45" s="333">
        <f t="shared" si="14"/>
        <v>634676.1456240468</v>
      </c>
      <c r="AF45" s="333">
        <f t="shared" si="14"/>
        <v>637659.1235084798</v>
      </c>
      <c r="AG45" s="333">
        <f t="shared" si="14"/>
        <v>640656.12138896959</v>
      </c>
      <c r="AH45" s="333">
        <f t="shared" si="14"/>
        <v>643667.20515949768</v>
      </c>
      <c r="AI45" s="333">
        <f t="shared" si="14"/>
        <v>646692.44102374732</v>
      </c>
      <c r="AJ45" s="333">
        <f t="shared" si="14"/>
        <v>649731.89549655886</v>
      </c>
      <c r="AK45" s="333">
        <f t="shared" si="14"/>
        <v>652785.63540539262</v>
      </c>
      <c r="AL45" s="333">
        <f t="shared" si="14"/>
        <v>655853.7278917979</v>
      </c>
      <c r="AM45" s="333">
        <f t="shared" si="14"/>
        <v>658936.24041288928</v>
      </c>
      <c r="AN45" s="333">
        <f t="shared" si="14"/>
        <v>662033.24074282986</v>
      </c>
      <c r="AO45" s="333">
        <f t="shared" si="14"/>
        <v>665144.79697432113</v>
      </c>
      <c r="AP45" s="333">
        <f t="shared" si="14"/>
        <v>668270.97752010042</v>
      </c>
      <c r="AQ45" s="333">
        <f t="shared" si="14"/>
        <v>671411.8511144449</v>
      </c>
      <c r="AR45" s="333">
        <f t="shared" si="14"/>
        <v>674567.48681468272</v>
      </c>
      <c r="AS45" s="333">
        <f t="shared" si="14"/>
        <v>677737.95400271169</v>
      </c>
      <c r="AT45" s="333">
        <f t="shared" si="14"/>
        <v>680923.32238652441</v>
      </c>
      <c r="AU45" s="333">
        <f t="shared" si="14"/>
        <v>684123.662001741</v>
      </c>
      <c r="AV45" s="333">
        <f t="shared" si="14"/>
        <v>687339.04321314918</v>
      </c>
      <c r="AW45" s="333">
        <f t="shared" si="14"/>
        <v>690569.53671625094</v>
      </c>
      <c r="AX45" s="333">
        <f t="shared" si="14"/>
        <v>693815.21353881725</v>
      </c>
      <c r="AY45" s="333">
        <f t="shared" si="14"/>
        <v>697076.14504244959</v>
      </c>
      <c r="AZ45" s="333">
        <f t="shared" si="14"/>
        <v>700352.40292414906</v>
      </c>
      <c r="BA45" s="333">
        <f t="shared" si="14"/>
        <v>703644.05921789247</v>
      </c>
      <c r="BB45" s="333">
        <f t="shared" si="14"/>
        <v>706951.18629621656</v>
      </c>
      <c r="BC45" s="333">
        <f t="shared" si="14"/>
        <v>710273.85687180876</v>
      </c>
      <c r="BD45" s="305"/>
      <c r="BE45" s="305"/>
      <c r="BF45" s="305"/>
    </row>
    <row r="46" spans="1:58" s="206" customFormat="1" ht="18" hidden="1" customHeight="1" outlineLevel="1" x14ac:dyDescent="0.25">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25">
      <c r="B49" s="906" t="str">
        <f>B77</f>
        <v>Biodigestão Anaeróbia</v>
      </c>
      <c r="C49" s="325" t="str">
        <f>C77</f>
        <v>Sim</v>
      </c>
      <c r="D49" s="325">
        <f>'R&amp;C-Painel de Controle'!H64</f>
        <v>683748.5</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686962.11794999999</v>
      </c>
      <c r="G51" s="333">
        <f t="shared" si="19"/>
        <v>686962.11794999999</v>
      </c>
      <c r="H51" s="333">
        <f t="shared" si="19"/>
        <v>686962.11794999999</v>
      </c>
      <c r="I51" s="333">
        <f t="shared" si="19"/>
        <v>686962.11794999999</v>
      </c>
      <c r="J51" s="333">
        <f t="shared" si="19"/>
        <v>686962.11794999999</v>
      </c>
      <c r="K51" s="333">
        <f t="shared" si="19"/>
        <v>686962.11794999999</v>
      </c>
      <c r="L51" s="333">
        <f t="shared" si="19"/>
        <v>686962.11794999999</v>
      </c>
      <c r="M51" s="333">
        <f t="shared" si="19"/>
        <v>686962.11794999999</v>
      </c>
      <c r="N51" s="333">
        <f t="shared" si="19"/>
        <v>686962.11794999999</v>
      </c>
      <c r="O51" s="333">
        <f t="shared" si="19"/>
        <v>686962.11794999999</v>
      </c>
      <c r="P51" s="333">
        <f t="shared" si="19"/>
        <v>686962.11794999999</v>
      </c>
      <c r="Q51" s="333">
        <f t="shared" si="19"/>
        <v>686962.11794999999</v>
      </c>
      <c r="R51" s="333">
        <f t="shared" ref="R51:BC51" si="20">Q51*(1+$C$8)</f>
        <v>690190.8399043649</v>
      </c>
      <c r="S51" s="333">
        <f t="shared" si="20"/>
        <v>693434.73685191537</v>
      </c>
      <c r="T51" s="333">
        <f t="shared" si="20"/>
        <v>696693.88011511927</v>
      </c>
      <c r="U51" s="333">
        <f t="shared" si="20"/>
        <v>699968.34135166032</v>
      </c>
      <c r="V51" s="333">
        <f t="shared" si="20"/>
        <v>703258.19255601312</v>
      </c>
      <c r="W51" s="333">
        <f t="shared" si="20"/>
        <v>706563.50606102636</v>
      </c>
      <c r="X51" s="333">
        <f t="shared" si="20"/>
        <v>709884.35453951312</v>
      </c>
      <c r="Y51" s="333">
        <f t="shared" si="20"/>
        <v>713220.81100584881</v>
      </c>
      <c r="Z51" s="333">
        <f t="shared" si="20"/>
        <v>716572.94881757628</v>
      </c>
      <c r="AA51" s="333">
        <f t="shared" si="20"/>
        <v>719940.84167701879</v>
      </c>
      <c r="AB51" s="333">
        <f t="shared" si="20"/>
        <v>723324.56363290071</v>
      </c>
      <c r="AC51" s="333">
        <f t="shared" si="20"/>
        <v>726724.18908197526</v>
      </c>
      <c r="AD51" s="333">
        <f t="shared" si="20"/>
        <v>730139.79277066048</v>
      </c>
      <c r="AE51" s="333">
        <f t="shared" si="20"/>
        <v>733571.44979668257</v>
      </c>
      <c r="AF51" s="333">
        <f t="shared" si="20"/>
        <v>737019.23561072687</v>
      </c>
      <c r="AG51" s="333">
        <f t="shared" si="20"/>
        <v>740483.22601809725</v>
      </c>
      <c r="AH51" s="333">
        <f t="shared" si="20"/>
        <v>743963.49718038226</v>
      </c>
      <c r="AI51" s="333">
        <f t="shared" si="20"/>
        <v>747460.12561712996</v>
      </c>
      <c r="AJ51" s="333">
        <f t="shared" si="20"/>
        <v>750973.18820753042</v>
      </c>
      <c r="AK51" s="333">
        <f t="shared" si="20"/>
        <v>754502.76219210576</v>
      </c>
      <c r="AL51" s="333">
        <f t="shared" si="20"/>
        <v>758048.92517440859</v>
      </c>
      <c r="AM51" s="333">
        <f t="shared" si="20"/>
        <v>761611.7551227283</v>
      </c>
      <c r="AN51" s="333">
        <f t="shared" si="20"/>
        <v>765191.33037180512</v>
      </c>
      <c r="AO51" s="333">
        <f t="shared" si="20"/>
        <v>768787.72962455254</v>
      </c>
      <c r="AP51" s="333">
        <f t="shared" si="20"/>
        <v>772401.0319537879</v>
      </c>
      <c r="AQ51" s="333">
        <f t="shared" si="20"/>
        <v>776031.31680397061</v>
      </c>
      <c r="AR51" s="333">
        <f t="shared" si="20"/>
        <v>779678.66399294918</v>
      </c>
      <c r="AS51" s="333">
        <f t="shared" si="20"/>
        <v>783343.15371371596</v>
      </c>
      <c r="AT51" s="333">
        <f t="shared" si="20"/>
        <v>787024.86653617036</v>
      </c>
      <c r="AU51" s="333">
        <f t="shared" si="20"/>
        <v>790723.88340889034</v>
      </c>
      <c r="AV51" s="333">
        <f t="shared" si="20"/>
        <v>794440.28566091205</v>
      </c>
      <c r="AW51" s="333">
        <f t="shared" si="20"/>
        <v>798174.15500351833</v>
      </c>
      <c r="AX51" s="333">
        <f t="shared" si="20"/>
        <v>801925.57353203476</v>
      </c>
      <c r="AY51" s="333">
        <f t="shared" si="20"/>
        <v>805694.62372763525</v>
      </c>
      <c r="AZ51" s="333">
        <f t="shared" si="20"/>
        <v>809481.3884591551</v>
      </c>
      <c r="BA51" s="333">
        <f t="shared" si="20"/>
        <v>813285.95098491304</v>
      </c>
      <c r="BB51" s="333">
        <f t="shared" si="20"/>
        <v>817108.39495454205</v>
      </c>
      <c r="BC51" s="333">
        <f t="shared" si="20"/>
        <v>820948.80441082828</v>
      </c>
      <c r="BD51" s="305"/>
      <c r="BE51" s="305"/>
      <c r="BF51" s="305"/>
    </row>
    <row r="52" spans="1:58" s="206" customFormat="1" ht="18" hidden="1" customHeight="1" outlineLevel="1" x14ac:dyDescent="0.25">
      <c r="B52" s="906" t="str">
        <f>B80</f>
        <v>Compostagem</v>
      </c>
      <c r="C52" s="325" t="str">
        <f>C80</f>
        <v>Sim</v>
      </c>
      <c r="D52" s="325">
        <f>'R&amp;C-Painel de Controle'!H67</f>
        <v>581186.22499999998</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583917.80025749991</v>
      </c>
      <c r="G54" s="333">
        <f t="shared" si="22"/>
        <v>583917.80025749991</v>
      </c>
      <c r="H54" s="333">
        <f t="shared" si="22"/>
        <v>583917.80025749991</v>
      </c>
      <c r="I54" s="333">
        <f t="shared" si="22"/>
        <v>583917.80025749991</v>
      </c>
      <c r="J54" s="333">
        <f t="shared" si="22"/>
        <v>583917.80025749991</v>
      </c>
      <c r="K54" s="333">
        <f t="shared" si="22"/>
        <v>583917.80025749991</v>
      </c>
      <c r="L54" s="333">
        <f t="shared" si="22"/>
        <v>583917.80025749991</v>
      </c>
      <c r="M54" s="333">
        <f t="shared" si="22"/>
        <v>583917.80025749991</v>
      </c>
      <c r="N54" s="333">
        <f t="shared" si="22"/>
        <v>583917.80025749991</v>
      </c>
      <c r="O54" s="333">
        <f t="shared" si="22"/>
        <v>583917.80025749991</v>
      </c>
      <c r="P54" s="333">
        <f t="shared" si="22"/>
        <v>583917.80025749991</v>
      </c>
      <c r="Q54" s="333">
        <f t="shared" si="22"/>
        <v>583917.80025749991</v>
      </c>
      <c r="R54" s="333">
        <f t="shared" ref="R54:BC54" si="23">Q54*(1+$C$8)</f>
        <v>586662.21391871013</v>
      </c>
      <c r="S54" s="333">
        <f t="shared" si="23"/>
        <v>589419.52632412803</v>
      </c>
      <c r="T54" s="333">
        <f t="shared" si="23"/>
        <v>592189.79809785134</v>
      </c>
      <c r="U54" s="333">
        <f t="shared" si="23"/>
        <v>594973.09014891123</v>
      </c>
      <c r="V54" s="333">
        <f t="shared" si="23"/>
        <v>597769.46367261105</v>
      </c>
      <c r="W54" s="333">
        <f t="shared" si="23"/>
        <v>600578.98015187227</v>
      </c>
      <c r="X54" s="333">
        <f t="shared" si="23"/>
        <v>603401.70135858597</v>
      </c>
      <c r="Y54" s="333">
        <f t="shared" si="23"/>
        <v>606237.68935497128</v>
      </c>
      <c r="Z54" s="333">
        <f t="shared" si="23"/>
        <v>609087.00649493956</v>
      </c>
      <c r="AA54" s="333">
        <f t="shared" si="23"/>
        <v>611949.71542546572</v>
      </c>
      <c r="AB54" s="333">
        <f t="shared" si="23"/>
        <v>614825.87908796535</v>
      </c>
      <c r="AC54" s="333">
        <f t="shared" si="23"/>
        <v>617715.56071967876</v>
      </c>
      <c r="AD54" s="333">
        <f t="shared" si="23"/>
        <v>620618.8238550612</v>
      </c>
      <c r="AE54" s="333">
        <f t="shared" si="23"/>
        <v>623535.73232717998</v>
      </c>
      <c r="AF54" s="333">
        <f t="shared" si="23"/>
        <v>626466.35026911763</v>
      </c>
      <c r="AG54" s="333">
        <f t="shared" si="23"/>
        <v>629410.74211538245</v>
      </c>
      <c r="AH54" s="333">
        <f t="shared" si="23"/>
        <v>632368.97260332468</v>
      </c>
      <c r="AI54" s="333">
        <f t="shared" si="23"/>
        <v>635341.10677456029</v>
      </c>
      <c r="AJ54" s="333">
        <f t="shared" si="23"/>
        <v>638327.20997640071</v>
      </c>
      <c r="AK54" s="333">
        <f t="shared" si="23"/>
        <v>641327.34786328976</v>
      </c>
      <c r="AL54" s="333">
        <f t="shared" si="23"/>
        <v>644341.58639824716</v>
      </c>
      <c r="AM54" s="333">
        <f t="shared" si="23"/>
        <v>647369.99185431888</v>
      </c>
      <c r="AN54" s="333">
        <f t="shared" si="23"/>
        <v>650412.63081603416</v>
      </c>
      <c r="AO54" s="333">
        <f t="shared" si="23"/>
        <v>653469.57018086943</v>
      </c>
      <c r="AP54" s="333">
        <f t="shared" si="23"/>
        <v>656540.87716071948</v>
      </c>
      <c r="AQ54" s="333">
        <f t="shared" si="23"/>
        <v>659626.61928337486</v>
      </c>
      <c r="AR54" s="333">
        <f t="shared" si="23"/>
        <v>662726.86439400667</v>
      </c>
      <c r="AS54" s="333">
        <f t="shared" si="23"/>
        <v>665841.68065665849</v>
      </c>
      <c r="AT54" s="333">
        <f t="shared" si="23"/>
        <v>668971.13655574468</v>
      </c>
      <c r="AU54" s="333">
        <f t="shared" si="23"/>
        <v>672115.30089755659</v>
      </c>
      <c r="AV54" s="333">
        <f t="shared" si="23"/>
        <v>675274.24281177507</v>
      </c>
      <c r="AW54" s="333">
        <f t="shared" si="23"/>
        <v>678448.03175299033</v>
      </c>
      <c r="AX54" s="333">
        <f t="shared" si="23"/>
        <v>681636.73750222928</v>
      </c>
      <c r="AY54" s="333">
        <f t="shared" si="23"/>
        <v>684840.43016848969</v>
      </c>
      <c r="AZ54" s="333">
        <f t="shared" si="23"/>
        <v>688059.18019028159</v>
      </c>
      <c r="BA54" s="333">
        <f t="shared" si="23"/>
        <v>691293.05833717587</v>
      </c>
      <c r="BB54" s="333">
        <f t="shared" si="23"/>
        <v>694542.13571136049</v>
      </c>
      <c r="BC54" s="333">
        <f t="shared" si="23"/>
        <v>697806.48374920385</v>
      </c>
      <c r="BD54" s="305"/>
      <c r="BE54" s="305"/>
      <c r="BF54" s="305"/>
    </row>
    <row r="55" spans="1:58" s="206" customFormat="1" ht="18" hidden="1" customHeight="1" outlineLevel="1" x14ac:dyDescent="0.25">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25">
      <c r="B58" s="906" t="str">
        <f>B86</f>
        <v>Aterro Sanitário</v>
      </c>
      <c r="C58" s="325" t="str">
        <f>C86</f>
        <v>Sim</v>
      </c>
      <c r="D58" s="325">
        <f>'R&amp;C-Painel de Controle'!H73</f>
        <v>624734.30625000002</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627670.557489375</v>
      </c>
      <c r="G60" s="333">
        <f t="shared" si="28"/>
        <v>627670.557489375</v>
      </c>
      <c r="H60" s="333">
        <f t="shared" si="28"/>
        <v>627670.557489375</v>
      </c>
      <c r="I60" s="333">
        <f t="shared" si="28"/>
        <v>627670.557489375</v>
      </c>
      <c r="J60" s="333">
        <f t="shared" si="28"/>
        <v>627670.557489375</v>
      </c>
      <c r="K60" s="333">
        <f t="shared" si="28"/>
        <v>627670.557489375</v>
      </c>
      <c r="L60" s="333">
        <f t="shared" si="28"/>
        <v>627670.557489375</v>
      </c>
      <c r="M60" s="333">
        <f t="shared" si="28"/>
        <v>627670.557489375</v>
      </c>
      <c r="N60" s="333">
        <f t="shared" si="28"/>
        <v>627670.557489375</v>
      </c>
      <c r="O60" s="333">
        <f t="shared" si="28"/>
        <v>627670.557489375</v>
      </c>
      <c r="P60" s="333">
        <f t="shared" si="28"/>
        <v>627670.557489375</v>
      </c>
      <c r="Q60" s="333">
        <f t="shared" si="28"/>
        <v>627670.557489375</v>
      </c>
      <c r="R60" s="333">
        <f t="shared" ref="R60:BC60" si="29">Q60*(1+$C$8)</f>
        <v>630620.60910957505</v>
      </c>
      <c r="S60" s="333">
        <f t="shared" si="29"/>
        <v>633584.52597238997</v>
      </c>
      <c r="T60" s="333">
        <f t="shared" si="29"/>
        <v>636562.37324446021</v>
      </c>
      <c r="U60" s="333">
        <f t="shared" si="29"/>
        <v>639554.2163987091</v>
      </c>
      <c r="V60" s="333">
        <f t="shared" si="29"/>
        <v>642560.12121578294</v>
      </c>
      <c r="W60" s="333">
        <f t="shared" si="29"/>
        <v>645580.15378549707</v>
      </c>
      <c r="X60" s="333">
        <f t="shared" si="29"/>
        <v>648614.38050828886</v>
      </c>
      <c r="Y60" s="333">
        <f t="shared" si="29"/>
        <v>651662.86809667782</v>
      </c>
      <c r="Z60" s="333">
        <f t="shared" si="29"/>
        <v>654725.68357673218</v>
      </c>
      <c r="AA60" s="333">
        <f t="shared" si="29"/>
        <v>657802.8942895428</v>
      </c>
      <c r="AB60" s="333">
        <f t="shared" si="29"/>
        <v>660894.56789270358</v>
      </c>
      <c r="AC60" s="333">
        <f t="shared" si="29"/>
        <v>664000.77236179926</v>
      </c>
      <c r="AD60" s="333">
        <f t="shared" si="29"/>
        <v>667121.57599189971</v>
      </c>
      <c r="AE60" s="333">
        <f t="shared" si="29"/>
        <v>670257.04739906162</v>
      </c>
      <c r="AF60" s="333">
        <f t="shared" si="29"/>
        <v>673407.25552183716</v>
      </c>
      <c r="AG60" s="333">
        <f t="shared" si="29"/>
        <v>676572.2696227897</v>
      </c>
      <c r="AH60" s="333">
        <f t="shared" si="29"/>
        <v>679752.15929001675</v>
      </c>
      <c r="AI60" s="333">
        <f t="shared" si="29"/>
        <v>682946.99443867977</v>
      </c>
      <c r="AJ60" s="333">
        <f t="shared" si="29"/>
        <v>686156.84531254147</v>
      </c>
      <c r="AK60" s="333">
        <f t="shared" si="29"/>
        <v>689381.78248551034</v>
      </c>
      <c r="AL60" s="333">
        <f t="shared" si="29"/>
        <v>692621.87686319218</v>
      </c>
      <c r="AM60" s="333">
        <f t="shared" si="29"/>
        <v>695877.19968444912</v>
      </c>
      <c r="AN60" s="333">
        <f t="shared" si="29"/>
        <v>699147.82252296596</v>
      </c>
      <c r="AO60" s="333">
        <f t="shared" si="29"/>
        <v>702433.81728882389</v>
      </c>
      <c r="AP60" s="333">
        <f t="shared" si="29"/>
        <v>705735.25623008132</v>
      </c>
      <c r="AQ60" s="333">
        <f t="shared" si="29"/>
        <v>709052.21193436265</v>
      </c>
      <c r="AR60" s="333">
        <f t="shared" si="29"/>
        <v>712384.75733045407</v>
      </c>
      <c r="AS60" s="333">
        <f t="shared" si="29"/>
        <v>715732.9656899072</v>
      </c>
      <c r="AT60" s="333">
        <f t="shared" si="29"/>
        <v>719096.91062864976</v>
      </c>
      <c r="AU60" s="333">
        <f t="shared" si="29"/>
        <v>722476.6661086044</v>
      </c>
      <c r="AV60" s="333">
        <f t="shared" si="29"/>
        <v>725872.30643931474</v>
      </c>
      <c r="AW60" s="333">
        <f t="shared" si="29"/>
        <v>729283.9062795795</v>
      </c>
      <c r="AX60" s="333">
        <f t="shared" si="29"/>
        <v>732711.54063909349</v>
      </c>
      <c r="AY60" s="333">
        <f t="shared" si="29"/>
        <v>736155.28488009714</v>
      </c>
      <c r="AZ60" s="333">
        <f t="shared" si="29"/>
        <v>739615.21471903357</v>
      </c>
      <c r="BA60" s="333">
        <f t="shared" si="29"/>
        <v>743091.40622821299</v>
      </c>
      <c r="BB60" s="333">
        <f t="shared" si="29"/>
        <v>746583.93583748548</v>
      </c>
      <c r="BC60" s="333">
        <f t="shared" si="29"/>
        <v>750092.88033592165</v>
      </c>
      <c r="BD60" s="305"/>
      <c r="BE60" s="305"/>
      <c r="BF60" s="305"/>
    </row>
    <row r="61" spans="1:58" s="206" customFormat="1" ht="18" hidden="1" customHeight="1" outlineLevel="1" x14ac:dyDescent="0.25">
      <c r="B61" s="906" t="s">
        <v>671</v>
      </c>
      <c r="C61" s="328">
        <f>C35</f>
        <v>1560000</v>
      </c>
      <c r="D61" s="330">
        <f>D35</f>
        <v>1567332</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286.75687403986899</v>
      </c>
      <c r="D63" s="306">
        <f>((D67+D70+D73+D76+D79+D82+D85+D88+'R&amp;C-Painel de Controle'!I21)+('R&amp;C-Painel de Controle'!$K$77*$H$27/5+'R&amp;C-Painel de Controle'!$K$75*$H$27/20+'R&amp;C-Painel de Controle'!$D$29+'R&amp;C-Painel de Controle'!$D$30)/3*(1+$C$62))</f>
        <v>576.21994378848581</v>
      </c>
      <c r="E63" s="306">
        <f>((E67+E70+E73+E76+E79+E82+E85+E88+'R&amp;C-Painel de Controle'!J21)+('R&amp;C-Painel de Controle'!$K$77*$H$27/5+'R&amp;C-Painel de Controle'!$K$75*$H$27/20+'R&amp;C-Painel de Controle'!$D$29+'R&amp;C-Painel de Controle'!$D$30)/3*(1+$C$62))</f>
        <v>383.24456395607456</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0</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0</v>
      </c>
      <c r="D70" s="333">
        <f>D69*$D$68</f>
        <v>0</v>
      </c>
      <c r="E70" s="333">
        <f>E69*$D$68</f>
        <v>0</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Sim</v>
      </c>
      <c r="D71" s="336">
        <f>'R&amp;C-Painel de Controle'!K58</f>
        <v>0</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Sim</v>
      </c>
      <c r="D77" s="336">
        <f>'R&amp;C-Painel de Controle'!K64</f>
        <v>887.03945962990576</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177.40789192598118</v>
      </c>
      <c r="D79" s="334">
        <f t="shared" si="37"/>
        <v>443.51972981495288</v>
      </c>
      <c r="E79" s="333">
        <f t="shared" si="37"/>
        <v>266.11183788897171</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Sim</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Não</v>
      </c>
      <c r="D83" s="336">
        <f>'R&amp;C-Painel de Controle'!K70</f>
        <v>0</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77.837439532150526</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15.567487906430106</v>
      </c>
      <c r="D88" s="334">
        <f t="shared" si="40"/>
        <v>38.918719766075263</v>
      </c>
      <c r="E88" s="332">
        <f t="shared" si="40"/>
        <v>23.351231859645157</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63.517486350553654</v>
      </c>
      <c r="G90" s="306">
        <f>IF('R&amp;C-Painel de Controle'!$D$24="Não",G94+G97+G100+G103+G106+G109+G112+G115,G94+G97+G100+G103+G106+G109+G112+G115+'R&amp;C-Painel de Controle'!$L$91)</f>
        <v>63.517486350553654</v>
      </c>
      <c r="H90" s="306">
        <f>IF('R&amp;C-Painel de Controle'!$D$24="Não",H94+H97+H100+H103+H106+H109+H112+H115,H94+H97+H100+H103+H106+H109+H112+H115+'R&amp;C-Painel de Controle'!$L$91)</f>
        <v>63.517486350553654</v>
      </c>
      <c r="I90" s="306">
        <f>IF('R&amp;C-Painel de Controle'!$D$24="Não",I94+I97+I100+I103+I106+I109+I112+I115,I94+I97+I100+I103+I106+I109+I112+I115+'R&amp;C-Painel de Controle'!$L$91)</f>
        <v>63.517486350553654</v>
      </c>
      <c r="J90" s="306">
        <f>IF('R&amp;C-Painel de Controle'!$D$24="Não",J94+J97+J100+J103+J106+J109+J112+J115,J94+J97+J100+J103+J106+J109+J112+J115+'R&amp;C-Painel de Controle'!$L$91)</f>
        <v>63.517486350553654</v>
      </c>
      <c r="K90" s="306">
        <f>IF('R&amp;C-Painel de Controle'!$D$24="Não",K94+K97+K100+K103+K106+K109+K112+K115,K94+K97+K100+K103+K106+K109+K112+K115+'R&amp;C-Painel de Controle'!$L$91)</f>
        <v>63.517486350553654</v>
      </c>
      <c r="L90" s="306">
        <f>IF('R&amp;C-Painel de Controle'!$D$24="Não",L94+L97+L100+L103+L106+L109+L112+L115,L94+L97+L100+L103+L106+L109+L112+L115+'R&amp;C-Painel de Controle'!$L$91)</f>
        <v>63.517486350553654</v>
      </c>
      <c r="M90" s="306">
        <f>IF('R&amp;C-Painel de Controle'!$D$24="Não",M94+M97+M100+M103+M106+M109+M112+M115,M94+M97+M100+M103+M106+M109+M112+M115+'R&amp;C-Painel de Controle'!$L$91)</f>
        <v>63.517486350553654</v>
      </c>
      <c r="N90" s="306">
        <f>IF('R&amp;C-Painel de Controle'!$D$24="Não",N94+N97+N100+N103+N106+N109+N112+N115,N94+N97+N100+N103+N106+N109+N112+N115+'R&amp;C-Painel de Controle'!$L$91)</f>
        <v>63.517486350553654</v>
      </c>
      <c r="O90" s="306">
        <f>IF('R&amp;C-Painel de Controle'!$D$24="Não",O94+O97+O100+O103+O106+O109+O112+O115,O94+O97+O100+O103+O106+O109+O112+O115+'R&amp;C-Painel de Controle'!$L$91)</f>
        <v>63.517486350553654</v>
      </c>
      <c r="P90" s="306">
        <f>IF('R&amp;C-Painel de Controle'!$D$24="Não",P94+P97+P100+P103+P106+P109+P112+P115,P94+P97+P100+P103+P106+P109+P112+P115+'R&amp;C-Painel de Controle'!$L$91)</f>
        <v>63.517486350553654</v>
      </c>
      <c r="Q90" s="306">
        <f>IF('R&amp;C-Painel de Controle'!$D$24="Não",Q94+Q97+Q100+Q103+Q106+Q109+Q112+Q115,Q94+Q97+Q100+Q103+Q106+Q109+Q112+Q115+'R&amp;C-Painel de Controle'!$L$91)</f>
        <v>63.517486350553654</v>
      </c>
      <c r="R90" s="306">
        <f>IF('R&amp;C-Painel de Controle'!$D$24="Não",R94+R97+R100+R103+R106+R109+R112+R115,R94+R97+R100+R103+R106+R109+R112+R115+'R&amp;C-Painel de Controle'!$L$91)</f>
        <v>63.517486350553654</v>
      </c>
      <c r="S90" s="306">
        <f>IF('R&amp;C-Painel de Controle'!$D$24="Não",S94+S97+S100+S103+S106+S109+S112+S115,S94+S97+S100+S103+S106+S109+S112+S115+'R&amp;C-Painel de Controle'!$L$91)</f>
        <v>63.517486350553654</v>
      </c>
      <c r="T90" s="306">
        <f>IF('R&amp;C-Painel de Controle'!$D$24="Não",T94+T97+T100+T103+T106+T109+T112+T115,T94+T97+T100+T103+T106+T109+T112+T115+'R&amp;C-Painel de Controle'!$L$91)</f>
        <v>63.517486350553654</v>
      </c>
      <c r="U90" s="306">
        <f>IF('R&amp;C-Painel de Controle'!$D$24="Não",U94+U97+U100+U103+U106+U109+U112+U115,U94+U97+U100+U103+U106+U109+U112+U115+'R&amp;C-Painel de Controle'!$L$91)</f>
        <v>63.517486350553654</v>
      </c>
      <c r="V90" s="306">
        <f>IF('R&amp;C-Painel de Controle'!$D$24="Não",V94+V97+V100+V103+V106+V109+V112+V115,V94+V97+V100+V103+V106+V109+V112+V115+'R&amp;C-Painel de Controle'!$L$91)</f>
        <v>63.517486350553654</v>
      </c>
      <c r="W90" s="306">
        <f>IF('R&amp;C-Painel de Controle'!$D$24="Não",W94+W97+W100+W103+W106+W109+W112+W115,W94+W97+W100+W103+W106+W109+W112+W115+'R&amp;C-Painel de Controle'!$L$91)</f>
        <v>63.517486350553654</v>
      </c>
      <c r="X90" s="306">
        <f>IF('R&amp;C-Painel de Controle'!$D$24="Não",X94+X97+X100+X103+X106+X109+X112+X115,X94+X97+X100+X103+X106+X109+X112+X115+'R&amp;C-Painel de Controle'!$L$91)</f>
        <v>63.517486350553654</v>
      </c>
      <c r="Y90" s="306">
        <f>IF('R&amp;C-Painel de Controle'!$D$24="Não",Y94+Y97+Y100+Y103+Y106+Y109+Y112+Y115,Y94+Y97+Y100+Y103+Y106+Y109+Y112+Y115+'R&amp;C-Painel de Controle'!$L$91)</f>
        <v>63.517486350553654</v>
      </c>
      <c r="Z90" s="306">
        <f>IF('R&amp;C-Painel de Controle'!$D$24="Não",Z94+Z97+Z100+Z103+Z106+Z109+Z112+Z115,Z94+Z97+Z100+Z103+Z106+Z109+Z112+Z115+'R&amp;C-Painel de Controle'!$L$91)</f>
        <v>63.517486350553654</v>
      </c>
      <c r="AA90" s="306">
        <f>IF('R&amp;C-Painel de Controle'!$D$24="Não",AA94+AA97+AA100+AA103+AA106+AA109+AA112+AA115,AA94+AA97+AA100+AA103+AA106+AA109+AA112+AA115+'R&amp;C-Painel de Controle'!$L$91)</f>
        <v>63.517486350553654</v>
      </c>
      <c r="AB90" s="306">
        <f>IF('R&amp;C-Painel de Controle'!$D$24="Não",AB94+AB97+AB100+AB103+AB106+AB109+AB112+AB115,AB94+AB97+AB100+AB103+AB106+AB109+AB112+AB115+'R&amp;C-Painel de Controle'!$L$91)</f>
        <v>63.517486350553654</v>
      </c>
      <c r="AC90" s="306">
        <f>IF('R&amp;C-Painel de Controle'!$D$24="Não",AC94+AC97+AC100+AC103+AC106+AC109+AC112+AC115,AC94+AC97+AC100+AC103+AC106+AC109+AC112+AC115+'R&amp;C-Painel de Controle'!$L$91)</f>
        <v>63.517486350553654</v>
      </c>
      <c r="AD90" s="306">
        <f>IF('R&amp;C-Painel de Controle'!$D$24="Não",AD94+AD97+AD100+AD103+AD106+AD109+AD112+AD115,AD94+AD97+AD100+AD103+AD106+AD109+AD112+AD115+'R&amp;C-Painel de Controle'!$L$91)</f>
        <v>63.517486350553654</v>
      </c>
      <c r="AE90" s="306">
        <f>IF('R&amp;C-Painel de Controle'!$D$24="Não",AE94+AE97+AE100+AE103+AE106+AE109+AE112+AE115,AE94+AE97+AE100+AE103+AE106+AE109+AE112+AE115+'R&amp;C-Painel de Controle'!$L$91)</f>
        <v>63.517486350553654</v>
      </c>
      <c r="AF90" s="306">
        <f>IF('R&amp;C-Painel de Controle'!$D$24="Não",AF94+AF97+AF100+AF103+AF106+AF109+AF112+AF115,AF94+AF97+AF100+AF103+AF106+AF109+AF112+AF115+'R&amp;C-Painel de Controle'!$L$91)</f>
        <v>63.517486350553654</v>
      </c>
      <c r="AG90" s="306">
        <f>IF('R&amp;C-Painel de Controle'!$D$24="Não",AG94+AG97+AG100+AG103+AG106+AG109+AG112+AG115,AG94+AG97+AG100+AG103+AG106+AG109+AG112+AG115+'R&amp;C-Painel de Controle'!$L$91)</f>
        <v>63.517486350553654</v>
      </c>
      <c r="AH90" s="306">
        <f>IF('R&amp;C-Painel de Controle'!$D$24="Não",AH94+AH97+AH100+AH103+AH106+AH109+AH112+AH115,AH94+AH97+AH100+AH103+AH106+AH109+AH112+AH115+'R&amp;C-Painel de Controle'!$L$91)</f>
        <v>63.517486350553654</v>
      </c>
      <c r="AI90" s="306">
        <f>IF('R&amp;C-Painel de Controle'!$D$24="Não",AI94+AI97+AI100+AI103+AI106+AI109+AI112+AI115,AI94+AI97+AI100+AI103+AI106+AI109+AI112+AI115+'R&amp;C-Painel de Controle'!$L$91)</f>
        <v>63.517486350553654</v>
      </c>
      <c r="AJ90" s="306">
        <f>IF('R&amp;C-Painel de Controle'!$D$24="Não",AJ94+AJ97+AJ100+AJ103+AJ106+AJ109+AJ112+AJ115,AJ94+AJ97+AJ100+AJ103+AJ106+AJ109+AJ112+AJ115+'R&amp;C-Painel de Controle'!$L$91)</f>
        <v>63.517486350553654</v>
      </c>
      <c r="AK90" s="306">
        <f>IF('R&amp;C-Painel de Controle'!$D$24="Não",AK94+AK97+AK100+AK103+AK106+AK109+AK112+AK115,AK94+AK97+AK100+AK103+AK106+AK109+AK112+AK115+'R&amp;C-Painel de Controle'!$L$91)</f>
        <v>63.517486350553654</v>
      </c>
      <c r="AL90" s="306">
        <f>IF('R&amp;C-Painel de Controle'!$D$24="Não",AL94+AL97+AL100+AL103+AL106+AL109+AL112+AL115,AL94+AL97+AL100+AL103+AL106+AL109+AL112+AL115+'R&amp;C-Painel de Controle'!$L$91)</f>
        <v>63.517486350553654</v>
      </c>
      <c r="AM90" s="306">
        <f>IF('R&amp;C-Painel de Controle'!$D$24="Não",AM94+AM97+AM100+AM103+AM106+AM109+AM112+AM115,AM94+AM97+AM100+AM103+AM106+AM109+AM112+AM115+'R&amp;C-Painel de Controle'!$L$91)</f>
        <v>63.517486350553654</v>
      </c>
      <c r="AN90" s="306">
        <f>IF('R&amp;C-Painel de Controle'!$D$24="Não",AN94+AN97+AN100+AN103+AN106+AN109+AN112+AN115,AN94+AN97+AN100+AN103+AN106+AN109+AN112+AN115+'R&amp;C-Painel de Controle'!$L$91)</f>
        <v>63.517486350553654</v>
      </c>
      <c r="AO90" s="306">
        <f>IF('R&amp;C-Painel de Controle'!$D$24="Não",AO94+AO97+AO100+AO103+AO106+AO109+AO112+AO115,AO94+AO97+AO100+AO103+AO106+AO109+AO112+AO115+'R&amp;C-Painel de Controle'!$L$91)</f>
        <v>63.517486350553654</v>
      </c>
      <c r="AP90" s="306">
        <f>IF('R&amp;C-Painel de Controle'!$D$24="Não",AP94+AP97+AP100+AP103+AP106+AP109+AP112+AP115,AP94+AP97+AP100+AP103+AP106+AP109+AP112+AP115+'R&amp;C-Painel de Controle'!$L$91)</f>
        <v>63.517486350553654</v>
      </c>
      <c r="AQ90" s="306">
        <f>IF('R&amp;C-Painel de Controle'!$D$24="Não",AQ94+AQ97+AQ100+AQ103+AQ106+AQ109+AQ112+AQ115,AQ94+AQ97+AQ100+AQ103+AQ106+AQ109+AQ112+AQ115+'R&amp;C-Painel de Controle'!$L$91)</f>
        <v>63.517486350553654</v>
      </c>
      <c r="AR90" s="306">
        <f>IF('R&amp;C-Painel de Controle'!$D$24="Não",AR94+AR97+AR100+AR103+AR106+AR109+AR112+AR115,AR94+AR97+AR100+AR103+AR106+AR109+AR112+AR115+'R&amp;C-Painel de Controle'!$L$91)</f>
        <v>63.517486350553654</v>
      </c>
      <c r="AS90" s="306">
        <f>IF('R&amp;C-Painel de Controle'!$D$24="Não",AS94+AS97+AS100+AS103+AS106+AS109+AS112+AS115,AS94+AS97+AS100+AS103+AS106+AS109+AS112+AS115+'R&amp;C-Painel de Controle'!$L$91)</f>
        <v>63.517486350553654</v>
      </c>
      <c r="AT90" s="306">
        <f>IF('R&amp;C-Painel de Controle'!$D$24="Não",AT94+AT97+AT100+AT103+AT106+AT109+AT112+AT115,AT94+AT97+AT100+AT103+AT106+AT109+AT112+AT115+'R&amp;C-Painel de Controle'!$L$91)</f>
        <v>63.517486350553654</v>
      </c>
      <c r="AU90" s="306">
        <f>IF('R&amp;C-Painel de Controle'!$D$24="Não",AU94+AU97+AU100+AU103+AU106+AU109+AU112+AU115,AU94+AU97+AU100+AU103+AU106+AU109+AU112+AU115+'R&amp;C-Painel de Controle'!$L$91)</f>
        <v>63.517486350553654</v>
      </c>
      <c r="AV90" s="306">
        <f>IF('R&amp;C-Painel de Controle'!$D$24="Não",AV94+AV97+AV100+AV103+AV106+AV109+AV112+AV115,AV94+AV97+AV100+AV103+AV106+AV109+AV112+AV115+'R&amp;C-Painel de Controle'!$L$91)</f>
        <v>63.517486350553654</v>
      </c>
      <c r="AW90" s="306">
        <f>IF('R&amp;C-Painel de Controle'!$D$24="Não",AW94+AW97+AW100+AW103+AW106+AW109+AW112+AW115,AW94+AW97+AW100+AW103+AW106+AW109+AW112+AW115+'R&amp;C-Painel de Controle'!$L$91)</f>
        <v>63.517486350553654</v>
      </c>
      <c r="AX90" s="306">
        <f>IF('R&amp;C-Painel de Controle'!$D$24="Não",AX94+AX97+AX100+AX103+AX106+AX109+AX112+AX115,AX94+AX97+AX100+AX103+AX106+AX109+AX112+AX115+'R&amp;C-Painel de Controle'!$L$91)</f>
        <v>63.517486350553654</v>
      </c>
      <c r="AY90" s="306">
        <f>IF('R&amp;C-Painel de Controle'!$D$24="Não",AY94+AY97+AY100+AY103+AY106+AY109+AY112+AY115,AY94+AY97+AY100+AY103+AY106+AY109+AY112+AY115+'R&amp;C-Painel de Controle'!$L$91)</f>
        <v>63.517486350553654</v>
      </c>
      <c r="AZ90" s="306">
        <f>IF('R&amp;C-Painel de Controle'!$D$24="Não",AZ94+AZ97+AZ100+AZ103+AZ106+AZ109+AZ112+AZ115,AZ94+AZ97+AZ100+AZ103+AZ106+AZ109+AZ112+AZ115+'R&amp;C-Painel de Controle'!$L$91)</f>
        <v>63.517486350553654</v>
      </c>
      <c r="BA90" s="306">
        <f>IF('R&amp;C-Painel de Controle'!$D$24="Não",BA94+BA97+BA100+BA103+BA106+BA109+BA112+BA115,BA94+BA97+BA100+BA103+BA106+BA109+BA112+BA115+'R&amp;C-Painel de Controle'!$L$91)</f>
        <v>63.517486350553654</v>
      </c>
      <c r="BB90" s="306">
        <f>IF('R&amp;C-Painel de Controle'!$D$24="Não",BB94+BB97+BB100+BB103+BB106+BB109+BB112+BB115,BB94+BB97+BB100+BB103+BB106+BB109+BB112+BB115+'R&amp;C-Painel de Controle'!$L$91)</f>
        <v>63.517486350553654</v>
      </c>
      <c r="BC90" s="306">
        <f>IF('R&amp;C-Painel de Controle'!$D$24="Não",BC94+BC97+BC100+BC103+BC106+BC109+BC112+BC115,BC94+BC97+BC100+BC103+BC106+BC109+BC112+BC115+'R&amp;C-Painel de Controle'!$L$91)</f>
        <v>63.517486350553654</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1565000</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0</v>
      </c>
      <c r="G97" s="327">
        <f>IF(G42&gt;0,'R&amp;C-Painel de Controle'!$O57+'R&amp;C-Painel de Controle'!$P57*G42/1000000,0)</f>
        <v>0</v>
      </c>
      <c r="H97" s="327">
        <f>IF(H42&gt;0,'R&amp;C-Painel de Controle'!$O57+'R&amp;C-Painel de Controle'!$P57*H42/1000000,0)</f>
        <v>0</v>
      </c>
      <c r="I97" s="327">
        <f>IF(I42&gt;0,'R&amp;C-Painel de Controle'!$O57+'R&amp;C-Painel de Controle'!$P57*I42/1000000,0)</f>
        <v>0</v>
      </c>
      <c r="J97" s="327">
        <f>IF(J42&gt;0,'R&amp;C-Painel de Controle'!$O57+'R&amp;C-Painel de Controle'!$P57*J42/1000000,0)</f>
        <v>0</v>
      </c>
      <c r="K97" s="327">
        <f>IF(K42&gt;0,'R&amp;C-Painel de Controle'!$O57+'R&amp;C-Painel de Controle'!$P57*K42/1000000,0)</f>
        <v>0</v>
      </c>
      <c r="L97" s="327">
        <f>IF(L42&gt;0,'R&amp;C-Painel de Controle'!$O57+'R&amp;C-Painel de Controle'!$P57*L42/1000000,0)</f>
        <v>0</v>
      </c>
      <c r="M97" s="327">
        <f>IF(M42&gt;0,'R&amp;C-Painel de Controle'!$O57+'R&amp;C-Painel de Controle'!$P57*M42/1000000,0)</f>
        <v>0</v>
      </c>
      <c r="N97" s="327">
        <f>IF(N42&gt;0,'R&amp;C-Painel de Controle'!$O57+'R&amp;C-Painel de Controle'!$P57*N42/1000000,0)</f>
        <v>0</v>
      </c>
      <c r="O97" s="327">
        <f>IF(O42&gt;0,'R&amp;C-Painel de Controle'!$O57+'R&amp;C-Painel de Controle'!$P57*O42/1000000,0)</f>
        <v>0</v>
      </c>
      <c r="P97" s="327">
        <f>IF(P42&gt;0,'R&amp;C-Painel de Controle'!$O57+'R&amp;C-Painel de Controle'!$P57*P42/1000000,0)</f>
        <v>0</v>
      </c>
      <c r="Q97" s="327">
        <f>IF(Q42&gt;0,'R&amp;C-Painel de Controle'!$O57+'R&amp;C-Painel de Controle'!$P57*Q42/1000000,0)</f>
        <v>0</v>
      </c>
      <c r="R97" s="305">
        <f t="shared" ref="R97:BC97" si="42">Q97</f>
        <v>0</v>
      </c>
      <c r="S97" s="305">
        <f t="shared" si="42"/>
        <v>0</v>
      </c>
      <c r="T97" s="305">
        <f t="shared" si="42"/>
        <v>0</v>
      </c>
      <c r="U97" s="305">
        <f t="shared" si="42"/>
        <v>0</v>
      </c>
      <c r="V97" s="305">
        <f t="shared" si="42"/>
        <v>0</v>
      </c>
      <c r="W97" s="305">
        <f t="shared" si="42"/>
        <v>0</v>
      </c>
      <c r="X97" s="305">
        <f t="shared" si="42"/>
        <v>0</v>
      </c>
      <c r="Y97" s="305">
        <f t="shared" si="42"/>
        <v>0</v>
      </c>
      <c r="Z97" s="305">
        <f t="shared" si="42"/>
        <v>0</v>
      </c>
      <c r="AA97" s="305">
        <f t="shared" si="42"/>
        <v>0</v>
      </c>
      <c r="AB97" s="305">
        <f t="shared" si="42"/>
        <v>0</v>
      </c>
      <c r="AC97" s="305">
        <f t="shared" si="42"/>
        <v>0</v>
      </c>
      <c r="AD97" s="305">
        <f t="shared" si="42"/>
        <v>0</v>
      </c>
      <c r="AE97" s="305">
        <f t="shared" si="42"/>
        <v>0</v>
      </c>
      <c r="AF97" s="305">
        <f t="shared" si="42"/>
        <v>0</v>
      </c>
      <c r="AG97" s="305">
        <f t="shared" si="42"/>
        <v>0</v>
      </c>
      <c r="AH97" s="305">
        <f t="shared" si="42"/>
        <v>0</v>
      </c>
      <c r="AI97" s="305">
        <f t="shared" si="42"/>
        <v>0</v>
      </c>
      <c r="AJ97" s="305">
        <f t="shared" si="42"/>
        <v>0</v>
      </c>
      <c r="AK97" s="305">
        <f t="shared" si="42"/>
        <v>0</v>
      </c>
      <c r="AL97" s="305">
        <f t="shared" si="42"/>
        <v>0</v>
      </c>
      <c r="AM97" s="305">
        <f t="shared" si="42"/>
        <v>0</v>
      </c>
      <c r="AN97" s="305">
        <f t="shared" si="42"/>
        <v>0</v>
      </c>
      <c r="AO97" s="305">
        <f t="shared" si="42"/>
        <v>0</v>
      </c>
      <c r="AP97" s="305">
        <f t="shared" si="42"/>
        <v>0</v>
      </c>
      <c r="AQ97" s="305">
        <f t="shared" si="42"/>
        <v>0</v>
      </c>
      <c r="AR97" s="305">
        <f t="shared" si="42"/>
        <v>0</v>
      </c>
      <c r="AS97" s="305">
        <f t="shared" si="42"/>
        <v>0</v>
      </c>
      <c r="AT97" s="305">
        <f t="shared" si="42"/>
        <v>0</v>
      </c>
      <c r="AU97" s="305">
        <f t="shared" si="42"/>
        <v>0</v>
      </c>
      <c r="AV97" s="305">
        <f t="shared" si="42"/>
        <v>0</v>
      </c>
      <c r="AW97" s="305">
        <f t="shared" si="42"/>
        <v>0</v>
      </c>
      <c r="AX97" s="305">
        <f t="shared" si="42"/>
        <v>0</v>
      </c>
      <c r="AY97" s="305">
        <f t="shared" si="42"/>
        <v>0</v>
      </c>
      <c r="AZ97" s="305">
        <f t="shared" si="42"/>
        <v>0</v>
      </c>
      <c r="BA97" s="305">
        <f t="shared" si="42"/>
        <v>0</v>
      </c>
      <c r="BB97" s="305">
        <f t="shared" si="42"/>
        <v>0</v>
      </c>
      <c r="BC97" s="305">
        <f t="shared" si="42"/>
        <v>0</v>
      </c>
      <c r="BD97" s="305"/>
      <c r="BE97" s="305"/>
      <c r="BF97" s="305"/>
    </row>
    <row r="98" spans="2:58" s="206" customFormat="1" ht="18" hidden="1" customHeight="1" outlineLevel="1" x14ac:dyDescent="0.25">
      <c r="B98" s="906" t="str">
        <f>B71</f>
        <v>Produção de CDR TM — Trat. Mec.</v>
      </c>
      <c r="C98" s="325" t="str">
        <f>C43</f>
        <v>Sim</v>
      </c>
      <c r="D98" s="325">
        <f>D43</f>
        <v>591570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25">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25">
      <c r="B104" s="906" t="str">
        <f>B77</f>
        <v>Biodigestão Anaeróbia</v>
      </c>
      <c r="C104" s="325" t="str">
        <f>C49</f>
        <v>Sim</v>
      </c>
      <c r="D104" s="325">
        <f>D49</f>
        <v>683748.5</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33.552980217618106</v>
      </c>
      <c r="G106" s="327">
        <f>IF(G51&gt;0,'R&amp;C-Painel de Controle'!$O66+'R&amp;C-Painel de Controle'!$P66*G51/1000000,0)</f>
        <v>33.552980217618106</v>
      </c>
      <c r="H106" s="327">
        <f>IF(H51&gt;0,'R&amp;C-Painel de Controle'!$O66+'R&amp;C-Painel de Controle'!$P66*H51/1000000,0)</f>
        <v>33.552980217618106</v>
      </c>
      <c r="I106" s="327">
        <f>IF(I51&gt;0,'R&amp;C-Painel de Controle'!$O66+'R&amp;C-Painel de Controle'!$P66*I51/1000000,0)</f>
        <v>33.552980217618106</v>
      </c>
      <c r="J106" s="327">
        <f>IF(J51&gt;0,'R&amp;C-Painel de Controle'!$O66+'R&amp;C-Painel de Controle'!$P66*J51/1000000,0)</f>
        <v>33.552980217618106</v>
      </c>
      <c r="K106" s="327">
        <f>IF(K51&gt;0,'R&amp;C-Painel de Controle'!$O66+'R&amp;C-Painel de Controle'!$P66*K51/1000000,0)</f>
        <v>33.552980217618106</v>
      </c>
      <c r="L106" s="327">
        <f>IF(L51&gt;0,'R&amp;C-Painel de Controle'!$O66+'R&amp;C-Painel de Controle'!$P66*L51/1000000,0)</f>
        <v>33.552980217618106</v>
      </c>
      <c r="M106" s="327">
        <f>IF(M51&gt;0,'R&amp;C-Painel de Controle'!$O66+'R&amp;C-Painel de Controle'!$P66*M51/1000000,0)</f>
        <v>33.552980217618106</v>
      </c>
      <c r="N106" s="327">
        <f>IF(N51&gt;0,'R&amp;C-Painel de Controle'!$O66+'R&amp;C-Painel de Controle'!$P66*N51/1000000,0)</f>
        <v>33.552980217618106</v>
      </c>
      <c r="O106" s="327">
        <f>IF(O51&gt;0,'R&amp;C-Painel de Controle'!$O66+'R&amp;C-Painel de Controle'!$P66*O51/1000000,0)</f>
        <v>33.552980217618106</v>
      </c>
      <c r="P106" s="327">
        <f>IF(P51&gt;0,'R&amp;C-Painel de Controle'!$O66+'R&amp;C-Painel de Controle'!$P66*P51/1000000,0)</f>
        <v>33.552980217618106</v>
      </c>
      <c r="Q106" s="327">
        <f>IF(Q51&gt;0,'R&amp;C-Painel de Controle'!$O66+'R&amp;C-Painel de Controle'!$P66*Q51/1000000,0)</f>
        <v>33.552980217618106</v>
      </c>
      <c r="R106" s="305">
        <f t="shared" ref="R106:BC106" si="45">Q106</f>
        <v>33.552980217618106</v>
      </c>
      <c r="S106" s="305">
        <f t="shared" si="45"/>
        <v>33.552980217618106</v>
      </c>
      <c r="T106" s="305">
        <f t="shared" si="45"/>
        <v>33.552980217618106</v>
      </c>
      <c r="U106" s="305">
        <f t="shared" si="45"/>
        <v>33.552980217618106</v>
      </c>
      <c r="V106" s="305">
        <f t="shared" si="45"/>
        <v>33.552980217618106</v>
      </c>
      <c r="W106" s="305">
        <f t="shared" si="45"/>
        <v>33.552980217618106</v>
      </c>
      <c r="X106" s="305">
        <f t="shared" si="45"/>
        <v>33.552980217618106</v>
      </c>
      <c r="Y106" s="305">
        <f t="shared" si="45"/>
        <v>33.552980217618106</v>
      </c>
      <c r="Z106" s="305">
        <f t="shared" si="45"/>
        <v>33.552980217618106</v>
      </c>
      <c r="AA106" s="305">
        <f t="shared" si="45"/>
        <v>33.552980217618106</v>
      </c>
      <c r="AB106" s="305">
        <f t="shared" si="45"/>
        <v>33.552980217618106</v>
      </c>
      <c r="AC106" s="305">
        <f t="shared" si="45"/>
        <v>33.552980217618106</v>
      </c>
      <c r="AD106" s="305">
        <f t="shared" si="45"/>
        <v>33.552980217618106</v>
      </c>
      <c r="AE106" s="305">
        <f t="shared" si="45"/>
        <v>33.552980217618106</v>
      </c>
      <c r="AF106" s="305">
        <f t="shared" si="45"/>
        <v>33.552980217618106</v>
      </c>
      <c r="AG106" s="305">
        <f t="shared" si="45"/>
        <v>33.552980217618106</v>
      </c>
      <c r="AH106" s="305">
        <f t="shared" si="45"/>
        <v>33.552980217618106</v>
      </c>
      <c r="AI106" s="305">
        <f t="shared" si="45"/>
        <v>33.552980217618106</v>
      </c>
      <c r="AJ106" s="305">
        <f t="shared" si="45"/>
        <v>33.552980217618106</v>
      </c>
      <c r="AK106" s="305">
        <f t="shared" si="45"/>
        <v>33.552980217618106</v>
      </c>
      <c r="AL106" s="305">
        <f t="shared" si="45"/>
        <v>33.552980217618106</v>
      </c>
      <c r="AM106" s="305">
        <f t="shared" si="45"/>
        <v>33.552980217618106</v>
      </c>
      <c r="AN106" s="305">
        <f t="shared" si="45"/>
        <v>33.552980217618106</v>
      </c>
      <c r="AO106" s="305">
        <f t="shared" si="45"/>
        <v>33.552980217618106</v>
      </c>
      <c r="AP106" s="305">
        <f t="shared" si="45"/>
        <v>33.552980217618106</v>
      </c>
      <c r="AQ106" s="305">
        <f t="shared" si="45"/>
        <v>33.552980217618106</v>
      </c>
      <c r="AR106" s="305">
        <f t="shared" si="45"/>
        <v>33.552980217618106</v>
      </c>
      <c r="AS106" s="305">
        <f t="shared" si="45"/>
        <v>33.552980217618106</v>
      </c>
      <c r="AT106" s="305">
        <f t="shared" si="45"/>
        <v>33.552980217618106</v>
      </c>
      <c r="AU106" s="305">
        <f t="shared" si="45"/>
        <v>33.552980217618106</v>
      </c>
      <c r="AV106" s="305">
        <f t="shared" si="45"/>
        <v>33.552980217618106</v>
      </c>
      <c r="AW106" s="305">
        <f t="shared" si="45"/>
        <v>33.552980217618106</v>
      </c>
      <c r="AX106" s="305">
        <f t="shared" si="45"/>
        <v>33.552980217618106</v>
      </c>
      <c r="AY106" s="305">
        <f t="shared" si="45"/>
        <v>33.552980217618106</v>
      </c>
      <c r="AZ106" s="305">
        <f t="shared" si="45"/>
        <v>33.552980217618106</v>
      </c>
      <c r="BA106" s="305">
        <f t="shared" si="45"/>
        <v>33.552980217618106</v>
      </c>
      <c r="BB106" s="305">
        <f t="shared" si="45"/>
        <v>33.552980217618106</v>
      </c>
      <c r="BC106" s="305">
        <f t="shared" si="45"/>
        <v>33.552980217618106</v>
      </c>
      <c r="BD106" s="305"/>
      <c r="BE106" s="305"/>
      <c r="BF106" s="305"/>
    </row>
    <row r="107" spans="2:58" s="206" customFormat="1" ht="18" hidden="1" customHeight="1" outlineLevel="1" x14ac:dyDescent="0.25">
      <c r="B107" s="906" t="str">
        <f>B80</f>
        <v>Compostagem</v>
      </c>
      <c r="C107" s="325" t="str">
        <f>C52</f>
        <v>Sim</v>
      </c>
      <c r="D107" s="325">
        <f>D52</f>
        <v>581186.22499999998</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25">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25">
      <c r="B113" s="906" t="str">
        <f>B86</f>
        <v>Aterro Sanitário</v>
      </c>
      <c r="C113" s="325" t="str">
        <f>C58</f>
        <v>Sim</v>
      </c>
      <c r="D113" s="325">
        <f>D58</f>
        <v>624734.30625000002</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29.964506132935551</v>
      </c>
      <c r="G115" s="327">
        <f>IF(G60&gt;0,'R&amp;C-Painel de Controle'!$O75+'R&amp;C-Painel de Controle'!$P75*G60/1000000,0)</f>
        <v>29.964506132935551</v>
      </c>
      <c r="H115" s="327">
        <f>IF(H60&gt;0,'R&amp;C-Painel de Controle'!$O75+'R&amp;C-Painel de Controle'!$P75*H60/1000000,0)</f>
        <v>29.964506132935551</v>
      </c>
      <c r="I115" s="327">
        <f>IF(I60&gt;0,'R&amp;C-Painel de Controle'!$O75+'R&amp;C-Painel de Controle'!$P75*I60/1000000,0)</f>
        <v>29.964506132935551</v>
      </c>
      <c r="J115" s="327">
        <f>IF(J60&gt;0,'R&amp;C-Painel de Controle'!$O75+'R&amp;C-Painel de Controle'!$P75*J60/1000000,0)</f>
        <v>29.964506132935551</v>
      </c>
      <c r="K115" s="327">
        <f>IF(K60&gt;0,'R&amp;C-Painel de Controle'!$O75+'R&amp;C-Painel de Controle'!$P75*K60/1000000,0)</f>
        <v>29.964506132935551</v>
      </c>
      <c r="L115" s="327">
        <f>IF(L60&gt;0,'R&amp;C-Painel de Controle'!$O75+'R&amp;C-Painel de Controle'!$P75*L60/1000000,0)</f>
        <v>29.964506132935551</v>
      </c>
      <c r="M115" s="327">
        <f>IF(M60&gt;0,'R&amp;C-Painel de Controle'!$O75+'R&amp;C-Painel de Controle'!$P75*M60/1000000,0)</f>
        <v>29.964506132935551</v>
      </c>
      <c r="N115" s="327">
        <f>IF(N60&gt;0,'R&amp;C-Painel de Controle'!$O75+'R&amp;C-Painel de Controle'!$P75*N60/1000000,0)</f>
        <v>29.964506132935551</v>
      </c>
      <c r="O115" s="327">
        <f>IF(O60&gt;0,'R&amp;C-Painel de Controle'!$O75+'R&amp;C-Painel de Controle'!$P75*O60/1000000,0)</f>
        <v>29.964506132935551</v>
      </c>
      <c r="P115" s="327">
        <f>IF(P60&gt;0,'R&amp;C-Painel de Controle'!$O75+'R&amp;C-Painel de Controle'!$P75*P60/1000000,0)</f>
        <v>29.964506132935551</v>
      </c>
      <c r="Q115" s="327">
        <f>IF(Q60&gt;0,'R&amp;C-Painel de Controle'!$O75+'R&amp;C-Painel de Controle'!$P75*Q60/1000000,0)</f>
        <v>29.964506132935551</v>
      </c>
      <c r="R115" s="305">
        <f t="shared" ref="R115:BC115" si="48">Q115</f>
        <v>29.964506132935551</v>
      </c>
      <c r="S115" s="305">
        <f t="shared" si="48"/>
        <v>29.964506132935551</v>
      </c>
      <c r="T115" s="305">
        <f t="shared" si="48"/>
        <v>29.964506132935551</v>
      </c>
      <c r="U115" s="305">
        <f t="shared" si="48"/>
        <v>29.964506132935551</v>
      </c>
      <c r="V115" s="305">
        <f t="shared" si="48"/>
        <v>29.964506132935551</v>
      </c>
      <c r="W115" s="305">
        <f t="shared" si="48"/>
        <v>29.964506132935551</v>
      </c>
      <c r="X115" s="305">
        <f t="shared" si="48"/>
        <v>29.964506132935551</v>
      </c>
      <c r="Y115" s="305">
        <f t="shared" si="48"/>
        <v>29.964506132935551</v>
      </c>
      <c r="Z115" s="305">
        <f t="shared" si="48"/>
        <v>29.964506132935551</v>
      </c>
      <c r="AA115" s="305">
        <f t="shared" si="48"/>
        <v>29.964506132935551</v>
      </c>
      <c r="AB115" s="305">
        <f t="shared" si="48"/>
        <v>29.964506132935551</v>
      </c>
      <c r="AC115" s="305">
        <f t="shared" si="48"/>
        <v>29.964506132935551</v>
      </c>
      <c r="AD115" s="305">
        <f t="shared" si="48"/>
        <v>29.964506132935551</v>
      </c>
      <c r="AE115" s="305">
        <f t="shared" si="48"/>
        <v>29.964506132935551</v>
      </c>
      <c r="AF115" s="305">
        <f t="shared" si="48"/>
        <v>29.964506132935551</v>
      </c>
      <c r="AG115" s="305">
        <f t="shared" si="48"/>
        <v>29.964506132935551</v>
      </c>
      <c r="AH115" s="305">
        <f t="shared" si="48"/>
        <v>29.964506132935551</v>
      </c>
      <c r="AI115" s="305">
        <f t="shared" si="48"/>
        <v>29.964506132935551</v>
      </c>
      <c r="AJ115" s="305">
        <f t="shared" si="48"/>
        <v>29.964506132935551</v>
      </c>
      <c r="AK115" s="305">
        <f t="shared" si="48"/>
        <v>29.964506132935551</v>
      </c>
      <c r="AL115" s="305">
        <f t="shared" si="48"/>
        <v>29.964506132935551</v>
      </c>
      <c r="AM115" s="305">
        <f t="shared" si="48"/>
        <v>29.964506132935551</v>
      </c>
      <c r="AN115" s="305">
        <f t="shared" si="48"/>
        <v>29.964506132935551</v>
      </c>
      <c r="AO115" s="305">
        <f t="shared" si="48"/>
        <v>29.964506132935551</v>
      </c>
      <c r="AP115" s="305">
        <f t="shared" si="48"/>
        <v>29.964506132935551</v>
      </c>
      <c r="AQ115" s="305">
        <f t="shared" si="48"/>
        <v>29.964506132935551</v>
      </c>
      <c r="AR115" s="305">
        <f t="shared" si="48"/>
        <v>29.964506132935551</v>
      </c>
      <c r="AS115" s="305">
        <f t="shared" si="48"/>
        <v>29.964506132935551</v>
      </c>
      <c r="AT115" s="305">
        <f t="shared" si="48"/>
        <v>29.964506132935551</v>
      </c>
      <c r="AU115" s="305">
        <f t="shared" si="48"/>
        <v>29.964506132935551</v>
      </c>
      <c r="AV115" s="305">
        <f t="shared" si="48"/>
        <v>29.964506132935551</v>
      </c>
      <c r="AW115" s="305">
        <f t="shared" si="48"/>
        <v>29.964506132935551</v>
      </c>
      <c r="AX115" s="305">
        <f t="shared" si="48"/>
        <v>29.964506132935551</v>
      </c>
      <c r="AY115" s="305">
        <f t="shared" si="48"/>
        <v>29.964506132935551</v>
      </c>
      <c r="AZ115" s="305">
        <f t="shared" si="48"/>
        <v>29.964506132935551</v>
      </c>
      <c r="BA115" s="305">
        <f t="shared" si="48"/>
        <v>29.964506132935551</v>
      </c>
      <c r="BB115" s="305">
        <f t="shared" si="48"/>
        <v>29.964506132935551</v>
      </c>
      <c r="BC115" s="305">
        <f t="shared" si="48"/>
        <v>29.964506132935551</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30.200917500000003</v>
      </c>
      <c r="D117" s="306">
        <f>IF('R-Definição'!$E$121="Existente",D90+((('R&amp;C-Painel de Controle'!$D$88+'R&amp;C-Painel de Controle'!$D$89)*('R&amp;C-Painel de Controle'!$D$44+'R&amp;C-Painel de Controle'!$D$46))/1000000),D90+((('R&amp;C-Painel de Controle'!$D$88)*('R&amp;C-Painel de Controle'!$D$44+'R&amp;C-Painel de Controle'!$D$46))/1000000))</f>
        <v>30.200917500000003</v>
      </c>
      <c r="E117" s="306">
        <f>IF('R-Definição'!$E$121="Existente",E90+((('R&amp;C-Painel de Controle'!$D$88+'R&amp;C-Painel de Controle'!$D$89)*('R&amp;C-Painel de Controle'!$D$44+'R&amp;C-Painel de Controle'!$D$46))/1000000),E90+((('R&amp;C-Painel de Controle'!$D$88)*('R&amp;C-Painel de Controle'!$D$44+'R&amp;C-Painel de Controle'!$D$46))/1000000))</f>
        <v>30.200917500000003</v>
      </c>
      <c r="F117" s="306">
        <f>IF('R-Definição'!$E$121="Existente",F90+((('R&amp;C-Painel de Controle'!$D$88+'R&amp;C-Painel de Controle'!$D$89)*('R&amp;C-Painel de Controle'!$D$44+'R&amp;C-Painel de Controle'!$D$46))/1000000),F90+((('R&amp;C-Painel de Controle'!$D$88)*('R&amp;C-Painel de Controle'!$D$44+'R&amp;C-Painel de Controle'!$D$46))/1000000))</f>
        <v>93.718403850553656</v>
      </c>
      <c r="G117" s="306">
        <f>IF('R-Definição'!$E$121="Existente",G90+((('R&amp;C-Painel de Controle'!$D$88+'R&amp;C-Painel de Controle'!$D$89)*('R&amp;C-Painel de Controle'!$D$44+'R&amp;C-Painel de Controle'!$D$46))/1000000),G90+((('R&amp;C-Painel de Controle'!$D$88)*('R&amp;C-Painel de Controle'!$D$44+'R&amp;C-Painel de Controle'!$D$46))/1000000))</f>
        <v>93.718403850553656</v>
      </c>
      <c r="H117" s="306">
        <f>IF('R-Definição'!$E$121="Existente",H90+((('R&amp;C-Painel de Controle'!$D$88+'R&amp;C-Painel de Controle'!$D$89)*('R&amp;C-Painel de Controle'!$D$44+'R&amp;C-Painel de Controle'!$D$46))/1000000),H90+((('R&amp;C-Painel de Controle'!$D$88)*('R&amp;C-Painel de Controle'!$D$44+'R&amp;C-Painel de Controle'!$D$46))/1000000))</f>
        <v>93.718403850553656</v>
      </c>
      <c r="I117" s="306">
        <f>IF('R-Definição'!$E$121="Existente",I90+((('R&amp;C-Painel de Controle'!$D$88+'R&amp;C-Painel de Controle'!$D$89)*('R&amp;C-Painel de Controle'!$D$44+'R&amp;C-Painel de Controle'!$D$46))/1000000),I90+((('R&amp;C-Painel de Controle'!$D$88)*('R&amp;C-Painel de Controle'!$D$44+'R&amp;C-Painel de Controle'!$D$46))/1000000))</f>
        <v>93.718403850553656</v>
      </c>
      <c r="J117" s="306">
        <f>IF('R-Definição'!$E$121="Existente",J90+((('R&amp;C-Painel de Controle'!$D$88+'R&amp;C-Painel de Controle'!$D$89)*('R&amp;C-Painel de Controle'!$D$44+'R&amp;C-Painel de Controle'!$D$46))/1000000),J90+((('R&amp;C-Painel de Controle'!$D$88)*('R&amp;C-Painel de Controle'!$D$44+'R&amp;C-Painel de Controle'!$D$46))/1000000))</f>
        <v>93.718403850553656</v>
      </c>
      <c r="K117" s="306">
        <f>IF('R-Definição'!$E$121="Existente",K90+((('R&amp;C-Painel de Controle'!$D$88+'R&amp;C-Painel de Controle'!$D$89)*('R&amp;C-Painel de Controle'!$D$44+'R&amp;C-Painel de Controle'!$D$46))/1000000),K90+((('R&amp;C-Painel de Controle'!$D$88)*('R&amp;C-Painel de Controle'!$D$44+'R&amp;C-Painel de Controle'!$D$46))/1000000))</f>
        <v>93.718403850553656</v>
      </c>
      <c r="L117" s="306">
        <f>IF('R-Definição'!$E$121="Existente",L90+((('R&amp;C-Painel de Controle'!$D$88+'R&amp;C-Painel de Controle'!$D$89)*('R&amp;C-Painel de Controle'!$D$44+'R&amp;C-Painel de Controle'!$D$46))/1000000),L90+((('R&amp;C-Painel de Controle'!$D$88)*('R&amp;C-Painel de Controle'!$D$44+'R&amp;C-Painel de Controle'!$D$46))/1000000))</f>
        <v>93.718403850553656</v>
      </c>
      <c r="M117" s="306">
        <f>IF('R-Definição'!$E$121="Existente",M90+((('R&amp;C-Painel de Controle'!$D$88+'R&amp;C-Painel de Controle'!$D$89)*('R&amp;C-Painel de Controle'!$D$44+'R&amp;C-Painel de Controle'!$D$46))/1000000),M90+((('R&amp;C-Painel de Controle'!$D$88)*('R&amp;C-Painel de Controle'!$D$44+'R&amp;C-Painel de Controle'!$D$46))/1000000))</f>
        <v>93.718403850553656</v>
      </c>
      <c r="N117" s="306">
        <f>IF('R-Definição'!$E$121="Existente",N90+((('R&amp;C-Painel de Controle'!$D$88+'R&amp;C-Painel de Controle'!$D$89)*('R&amp;C-Painel de Controle'!$D$44+'R&amp;C-Painel de Controle'!$D$46))/1000000),N90+((('R&amp;C-Painel de Controle'!$D$88)*('R&amp;C-Painel de Controle'!$D$44+'R&amp;C-Painel de Controle'!$D$46))/1000000))</f>
        <v>93.718403850553656</v>
      </c>
      <c r="O117" s="306">
        <f>IF('R-Definição'!$E$121="Existente",O90+((('R&amp;C-Painel de Controle'!$D$88+'R&amp;C-Painel de Controle'!$D$89)*('R&amp;C-Painel de Controle'!$D$44+'R&amp;C-Painel de Controle'!$D$46))/1000000),O90+((('R&amp;C-Painel de Controle'!$D$88)*('R&amp;C-Painel de Controle'!$D$44+'R&amp;C-Painel de Controle'!$D$46))/1000000))</f>
        <v>93.718403850553656</v>
      </c>
      <c r="P117" s="306">
        <f>IF('R-Definição'!$E$121="Existente",P90+((('R&amp;C-Painel de Controle'!$D$88+'R&amp;C-Painel de Controle'!$D$89)*('R&amp;C-Painel de Controle'!$D$44+'R&amp;C-Painel de Controle'!$D$46))/1000000),P90+((('R&amp;C-Painel de Controle'!$D$88)*('R&amp;C-Painel de Controle'!$D$44+'R&amp;C-Painel de Controle'!$D$46))/1000000))</f>
        <v>93.718403850553656</v>
      </c>
      <c r="Q117" s="306">
        <f>IF('R-Definição'!$E$121="Existente",Q90+((('R&amp;C-Painel de Controle'!$D$88+'R&amp;C-Painel de Controle'!$D$89)*('R&amp;C-Painel de Controle'!$D$44+'R&amp;C-Painel de Controle'!$D$46))/1000000),Q90+((('R&amp;C-Painel de Controle'!$D$88)*('R&amp;C-Painel de Controle'!$D$44+'R&amp;C-Painel de Controle'!$D$46))/1000000))</f>
        <v>93.718403850553656</v>
      </c>
      <c r="R117" s="306">
        <f>IF('R-Definição'!$E$121="Existente",R90+((('R&amp;C-Painel de Controle'!$D$88+'R&amp;C-Painel de Controle'!$D$89)*('R&amp;C-Painel de Controle'!$D$44+'R&amp;C-Painel de Controle'!$D$46))/1000000),R90+((('R&amp;C-Painel de Controle'!$D$88)*('R&amp;C-Painel de Controle'!$D$44+'R&amp;C-Painel de Controle'!$D$46))/1000000))</f>
        <v>93.718403850553656</v>
      </c>
      <c r="S117" s="306">
        <f>IF('R-Definição'!$E$121="Existente",S90+((('R&amp;C-Painel de Controle'!$D$88+'R&amp;C-Painel de Controle'!$D$89)*('R&amp;C-Painel de Controle'!$D$44+'R&amp;C-Painel de Controle'!$D$46))/1000000),S90+((('R&amp;C-Painel de Controle'!$D$88)*('R&amp;C-Painel de Controle'!$D$44+'R&amp;C-Painel de Controle'!$D$46))/1000000))</f>
        <v>93.718403850553656</v>
      </c>
      <c r="T117" s="306">
        <f>IF('R-Definição'!$E$121="Existente",T90+((('R&amp;C-Painel de Controle'!$D$88+'R&amp;C-Painel de Controle'!$D$89)*('R&amp;C-Painel de Controle'!$D$44+'R&amp;C-Painel de Controle'!$D$46))/1000000),T90+((('R&amp;C-Painel de Controle'!$D$88)*('R&amp;C-Painel de Controle'!$D$44+'R&amp;C-Painel de Controle'!$D$46))/1000000))</f>
        <v>93.718403850553656</v>
      </c>
      <c r="U117" s="306">
        <f>IF('R-Definição'!$E$121="Existente",U90+((('R&amp;C-Painel de Controle'!$D$88+'R&amp;C-Painel de Controle'!$D$89)*('R&amp;C-Painel de Controle'!$D$44+'R&amp;C-Painel de Controle'!$D$46))/1000000),U90+((('R&amp;C-Painel de Controle'!$D$88)*('R&amp;C-Painel de Controle'!$D$44+'R&amp;C-Painel de Controle'!$D$46))/1000000))</f>
        <v>93.718403850553656</v>
      </c>
      <c r="V117" s="306">
        <f>IF('R-Definição'!$E$121="Existente",V90+((('R&amp;C-Painel de Controle'!$D$88+'R&amp;C-Painel de Controle'!$D$89)*('R&amp;C-Painel de Controle'!$D$44+'R&amp;C-Painel de Controle'!$D$46))/1000000),V90+((('R&amp;C-Painel de Controle'!$D$88)*('R&amp;C-Painel de Controle'!$D$44+'R&amp;C-Painel de Controle'!$D$46))/1000000))</f>
        <v>93.718403850553656</v>
      </c>
      <c r="W117" s="306">
        <f>IF('R-Definição'!$E$121="Existente",W90+((('R&amp;C-Painel de Controle'!$D$88+'R&amp;C-Painel de Controle'!$D$89)*('R&amp;C-Painel de Controle'!$D$44+'R&amp;C-Painel de Controle'!$D$46))/1000000),W90+((('R&amp;C-Painel de Controle'!$D$88)*('R&amp;C-Painel de Controle'!$D$44+'R&amp;C-Painel de Controle'!$D$46))/1000000))</f>
        <v>93.718403850553656</v>
      </c>
      <c r="X117" s="306">
        <f>IF('R-Definição'!$E$121="Existente",X90+((('R&amp;C-Painel de Controle'!$D$88+'R&amp;C-Painel de Controle'!$D$89)*('R&amp;C-Painel de Controle'!$D$44+'R&amp;C-Painel de Controle'!$D$46))/1000000),X90+((('R&amp;C-Painel de Controle'!$D$88)*('R&amp;C-Painel de Controle'!$D$44+'R&amp;C-Painel de Controle'!$D$46))/1000000))</f>
        <v>93.718403850553656</v>
      </c>
      <c r="Y117" s="306">
        <f>IF('R-Definição'!$E$121="Existente",Y90+((('R&amp;C-Painel de Controle'!$D$88+'R&amp;C-Painel de Controle'!$D$89)*('R&amp;C-Painel de Controle'!$D$44+'R&amp;C-Painel de Controle'!$D$46))/1000000),Y90+((('R&amp;C-Painel de Controle'!$D$88)*('R&amp;C-Painel de Controle'!$D$44+'R&amp;C-Painel de Controle'!$D$46))/1000000))</f>
        <v>93.718403850553656</v>
      </c>
      <c r="Z117" s="306">
        <f>IF('R-Definição'!$E$121="Existente",Z90+((('R&amp;C-Painel de Controle'!$D$88+'R&amp;C-Painel de Controle'!$D$89)*('R&amp;C-Painel de Controle'!$D$44+'R&amp;C-Painel de Controle'!$D$46))/1000000),Z90+((('R&amp;C-Painel de Controle'!$D$88)*('R&amp;C-Painel de Controle'!$D$44+'R&amp;C-Painel de Controle'!$D$46))/1000000))</f>
        <v>93.718403850553656</v>
      </c>
      <c r="AA117" s="306">
        <f>IF('R-Definição'!$E$121="Existente",AA90+((('R&amp;C-Painel de Controle'!$D$88+'R&amp;C-Painel de Controle'!$D$89)*('R&amp;C-Painel de Controle'!$D$44+'R&amp;C-Painel de Controle'!$D$46))/1000000),AA90+((('R&amp;C-Painel de Controle'!$D$88)*('R&amp;C-Painel de Controle'!$D$44+'R&amp;C-Painel de Controle'!$D$46))/1000000))</f>
        <v>93.718403850553656</v>
      </c>
      <c r="AB117" s="306">
        <f>IF('R-Definição'!$E$121="Existente",AB90+((('R&amp;C-Painel de Controle'!$D$88+'R&amp;C-Painel de Controle'!$D$89)*('R&amp;C-Painel de Controle'!$D$44+'R&amp;C-Painel de Controle'!$D$46))/1000000),AB90+((('R&amp;C-Painel de Controle'!$D$88)*('R&amp;C-Painel de Controle'!$D$44+'R&amp;C-Painel de Controle'!$D$46))/1000000))</f>
        <v>93.718403850553656</v>
      </c>
      <c r="AC117" s="306">
        <f>IF('R-Definição'!$E$121="Existente",AC90+((('R&amp;C-Painel de Controle'!$D$88+'R&amp;C-Painel de Controle'!$D$89)*('R&amp;C-Painel de Controle'!$D$44+'R&amp;C-Painel de Controle'!$D$46))/1000000),AC90+((('R&amp;C-Painel de Controle'!$D$88)*('R&amp;C-Painel de Controle'!$D$44+'R&amp;C-Painel de Controle'!$D$46))/1000000))</f>
        <v>93.718403850553656</v>
      </c>
      <c r="AD117" s="306">
        <f>IF('R-Definição'!$E$121="Existente",AD90+((('R&amp;C-Painel de Controle'!$D$88+'R&amp;C-Painel de Controle'!$D$89)*('R&amp;C-Painel de Controle'!$D$44+'R&amp;C-Painel de Controle'!$D$46))/1000000),AD90+((('R&amp;C-Painel de Controle'!$D$88)*('R&amp;C-Painel de Controle'!$D$44+'R&amp;C-Painel de Controle'!$D$46))/1000000))</f>
        <v>93.718403850553656</v>
      </c>
      <c r="AE117" s="306">
        <f>IF('R-Definição'!$E$121="Existente",AE90+((('R&amp;C-Painel de Controle'!$D$88+'R&amp;C-Painel de Controle'!$D$89)*('R&amp;C-Painel de Controle'!$D$44+'R&amp;C-Painel de Controle'!$D$46))/1000000),AE90+((('R&amp;C-Painel de Controle'!$D$88)*('R&amp;C-Painel de Controle'!$D$44+'R&amp;C-Painel de Controle'!$D$46))/1000000))</f>
        <v>93.718403850553656</v>
      </c>
      <c r="AF117" s="306">
        <f>IF('R-Definição'!$E$121="Existente",AF90+((('R&amp;C-Painel de Controle'!$D$88+'R&amp;C-Painel de Controle'!$D$89)*('R&amp;C-Painel de Controle'!$D$44+'R&amp;C-Painel de Controle'!$D$46))/1000000),AF90+((('R&amp;C-Painel de Controle'!$D$88)*('R&amp;C-Painel de Controle'!$D$44+'R&amp;C-Painel de Controle'!$D$46))/1000000))</f>
        <v>93.718403850553656</v>
      </c>
      <c r="AG117" s="306">
        <f>IF('R-Definição'!$E$121="Existente",AG90+((('R&amp;C-Painel de Controle'!$D$88+'R&amp;C-Painel de Controle'!$D$89)*('R&amp;C-Painel de Controle'!$D$44+'R&amp;C-Painel de Controle'!$D$46))/1000000),AG90+((('R&amp;C-Painel de Controle'!$D$88)*('R&amp;C-Painel de Controle'!$D$44+'R&amp;C-Painel de Controle'!$D$46))/1000000))</f>
        <v>93.718403850553656</v>
      </c>
      <c r="AH117" s="306">
        <f>IF('R-Definição'!$E$121="Existente",AH90+((('R&amp;C-Painel de Controle'!$D$88+'R&amp;C-Painel de Controle'!$D$89)*('R&amp;C-Painel de Controle'!$D$44+'R&amp;C-Painel de Controle'!$D$46))/1000000),AH90+((('R&amp;C-Painel de Controle'!$D$88)*('R&amp;C-Painel de Controle'!$D$44+'R&amp;C-Painel de Controle'!$D$46))/1000000))</f>
        <v>93.718403850553656</v>
      </c>
      <c r="AI117" s="306">
        <f>IF('R-Definição'!$E$121="Existente",AI90+((('R&amp;C-Painel de Controle'!$D$88+'R&amp;C-Painel de Controle'!$D$89)*('R&amp;C-Painel de Controle'!$D$44+'R&amp;C-Painel de Controle'!$D$46))/1000000),AI90+((('R&amp;C-Painel de Controle'!$D$88)*('R&amp;C-Painel de Controle'!$D$44+'R&amp;C-Painel de Controle'!$D$46))/1000000))</f>
        <v>93.718403850553656</v>
      </c>
      <c r="AJ117" s="306">
        <f>IF('R-Definição'!$E$121="Existente",AJ90+((('R&amp;C-Painel de Controle'!$D$88+'R&amp;C-Painel de Controle'!$D$89)*('R&amp;C-Painel de Controle'!$D$44+'R&amp;C-Painel de Controle'!$D$46))/1000000),AJ90+((('R&amp;C-Painel de Controle'!$D$88)*('R&amp;C-Painel de Controle'!$D$44+'R&amp;C-Painel de Controle'!$D$46))/1000000))</f>
        <v>93.718403850553656</v>
      </c>
      <c r="AK117" s="306">
        <f>IF('R-Definição'!$E$121="Existente",AK90+((('R&amp;C-Painel de Controle'!$D$88+'R&amp;C-Painel de Controle'!$D$89)*('R&amp;C-Painel de Controle'!$D$44+'R&amp;C-Painel de Controle'!$D$46))/1000000),AK90+((('R&amp;C-Painel de Controle'!$D$88)*('R&amp;C-Painel de Controle'!$D$44+'R&amp;C-Painel de Controle'!$D$46))/1000000))</f>
        <v>93.718403850553656</v>
      </c>
      <c r="AL117" s="306">
        <f>IF('R-Definição'!$E$121="Existente",AL90+((('R&amp;C-Painel de Controle'!$D$88+'R&amp;C-Painel de Controle'!$D$89)*('R&amp;C-Painel de Controle'!$D$44+'R&amp;C-Painel de Controle'!$D$46))/1000000),AL90+((('R&amp;C-Painel de Controle'!$D$88)*('R&amp;C-Painel de Controle'!$D$44+'R&amp;C-Painel de Controle'!$D$46))/1000000))</f>
        <v>93.718403850553656</v>
      </c>
      <c r="AM117" s="306">
        <f>IF('R-Definição'!$E$121="Existente",AM90+((('R&amp;C-Painel de Controle'!$D$88+'R&amp;C-Painel de Controle'!$D$89)*('R&amp;C-Painel de Controle'!$D$44+'R&amp;C-Painel de Controle'!$D$46))/1000000),AM90+((('R&amp;C-Painel de Controle'!$D$88)*('R&amp;C-Painel de Controle'!$D$44+'R&amp;C-Painel de Controle'!$D$46))/1000000))</f>
        <v>93.718403850553656</v>
      </c>
      <c r="AN117" s="306">
        <f>IF('R-Definição'!$E$121="Existente",AN90+((('R&amp;C-Painel de Controle'!$D$88+'R&amp;C-Painel de Controle'!$D$89)*('R&amp;C-Painel de Controle'!$D$44+'R&amp;C-Painel de Controle'!$D$46))/1000000),AN90+((('R&amp;C-Painel de Controle'!$D$88)*('R&amp;C-Painel de Controle'!$D$44+'R&amp;C-Painel de Controle'!$D$46))/1000000))</f>
        <v>93.718403850553656</v>
      </c>
      <c r="AO117" s="306">
        <f>IF('R-Definição'!$E$121="Existente",AO90+((('R&amp;C-Painel de Controle'!$D$88+'R&amp;C-Painel de Controle'!$D$89)*('R&amp;C-Painel de Controle'!$D$44+'R&amp;C-Painel de Controle'!$D$46))/1000000),AO90+((('R&amp;C-Painel de Controle'!$D$88)*('R&amp;C-Painel de Controle'!$D$44+'R&amp;C-Painel de Controle'!$D$46))/1000000))</f>
        <v>93.718403850553656</v>
      </c>
      <c r="AP117" s="306">
        <f>IF('R-Definição'!$E$121="Existente",AP90+((('R&amp;C-Painel de Controle'!$D$88+'R&amp;C-Painel de Controle'!$D$89)*('R&amp;C-Painel de Controle'!$D$44+'R&amp;C-Painel de Controle'!$D$46))/1000000),AP90+((('R&amp;C-Painel de Controle'!$D$88)*('R&amp;C-Painel de Controle'!$D$44+'R&amp;C-Painel de Controle'!$D$46))/1000000))</f>
        <v>93.718403850553656</v>
      </c>
      <c r="AQ117" s="306">
        <f>IF('R-Definição'!$E$121="Existente",AQ90+((('R&amp;C-Painel de Controle'!$D$88+'R&amp;C-Painel de Controle'!$D$89)*('R&amp;C-Painel de Controle'!$D$44+'R&amp;C-Painel de Controle'!$D$46))/1000000),AQ90+((('R&amp;C-Painel de Controle'!$D$88)*('R&amp;C-Painel de Controle'!$D$44+'R&amp;C-Painel de Controle'!$D$46))/1000000))</f>
        <v>93.718403850553656</v>
      </c>
      <c r="AR117" s="306">
        <f>IF('R-Definição'!$E$121="Existente",AR90+((('R&amp;C-Painel de Controle'!$D$88+'R&amp;C-Painel de Controle'!$D$89)*('R&amp;C-Painel de Controle'!$D$44+'R&amp;C-Painel de Controle'!$D$46))/1000000),AR90+((('R&amp;C-Painel de Controle'!$D$88)*('R&amp;C-Painel de Controle'!$D$44+'R&amp;C-Painel de Controle'!$D$46))/1000000))</f>
        <v>93.718403850553656</v>
      </c>
      <c r="AS117" s="306">
        <f>IF('R-Definição'!$E$121="Existente",AS90+((('R&amp;C-Painel de Controle'!$D$88+'R&amp;C-Painel de Controle'!$D$89)*('R&amp;C-Painel de Controle'!$D$44+'R&amp;C-Painel de Controle'!$D$46))/1000000),AS90+((('R&amp;C-Painel de Controle'!$D$88)*('R&amp;C-Painel de Controle'!$D$44+'R&amp;C-Painel de Controle'!$D$46))/1000000))</f>
        <v>93.718403850553656</v>
      </c>
      <c r="AT117" s="306">
        <f>IF('R-Definição'!$E$121="Existente",AT90+((('R&amp;C-Painel de Controle'!$D$88+'R&amp;C-Painel de Controle'!$D$89)*('R&amp;C-Painel de Controle'!$D$44+'R&amp;C-Painel de Controle'!$D$46))/1000000),AT90+((('R&amp;C-Painel de Controle'!$D$88)*('R&amp;C-Painel de Controle'!$D$44+'R&amp;C-Painel de Controle'!$D$46))/1000000))</f>
        <v>93.718403850553656</v>
      </c>
      <c r="AU117" s="306">
        <f>IF('R-Definição'!$E$121="Existente",AU90+((('R&amp;C-Painel de Controle'!$D$88+'R&amp;C-Painel de Controle'!$D$89)*('R&amp;C-Painel de Controle'!$D$44+'R&amp;C-Painel de Controle'!$D$46))/1000000),AU90+((('R&amp;C-Painel de Controle'!$D$88)*('R&amp;C-Painel de Controle'!$D$44+'R&amp;C-Painel de Controle'!$D$46))/1000000))</f>
        <v>93.718403850553656</v>
      </c>
      <c r="AV117" s="306">
        <f>IF('R-Definição'!$E$121="Existente",AV90+((('R&amp;C-Painel de Controle'!$D$88+'R&amp;C-Painel de Controle'!$D$89)*('R&amp;C-Painel de Controle'!$D$44+'R&amp;C-Painel de Controle'!$D$46))/1000000),AV90+((('R&amp;C-Painel de Controle'!$D$88)*('R&amp;C-Painel de Controle'!$D$44+'R&amp;C-Painel de Controle'!$D$46))/1000000))</f>
        <v>93.718403850553656</v>
      </c>
      <c r="AW117" s="306">
        <f>IF('R-Definição'!$E$121="Existente",AW90+((('R&amp;C-Painel de Controle'!$D$88+'R&amp;C-Painel de Controle'!$D$89)*('R&amp;C-Painel de Controle'!$D$44+'R&amp;C-Painel de Controle'!$D$46))/1000000),AW90+((('R&amp;C-Painel de Controle'!$D$88)*('R&amp;C-Painel de Controle'!$D$44+'R&amp;C-Painel de Controle'!$D$46))/1000000))</f>
        <v>93.718403850553656</v>
      </c>
      <c r="AX117" s="306">
        <f>IF('R-Definição'!$E$121="Existente",AX90+((('R&amp;C-Painel de Controle'!$D$88+'R&amp;C-Painel de Controle'!$D$89)*('R&amp;C-Painel de Controle'!$D$44+'R&amp;C-Painel de Controle'!$D$46))/1000000),AX90+((('R&amp;C-Painel de Controle'!$D$88)*('R&amp;C-Painel de Controle'!$D$44+'R&amp;C-Painel de Controle'!$D$46))/1000000))</f>
        <v>93.718403850553656</v>
      </c>
      <c r="AY117" s="306">
        <f>IF('R-Definição'!$E$121="Existente",AY90+((('R&amp;C-Painel de Controle'!$D$88+'R&amp;C-Painel de Controle'!$D$89)*('R&amp;C-Painel de Controle'!$D$44+'R&amp;C-Painel de Controle'!$D$46))/1000000),AY90+((('R&amp;C-Painel de Controle'!$D$88)*('R&amp;C-Painel de Controle'!$D$44+'R&amp;C-Painel de Controle'!$D$46))/1000000))</f>
        <v>93.718403850553656</v>
      </c>
      <c r="AZ117" s="306">
        <f>IF('R-Definição'!$E$121="Existente",AZ90+((('R&amp;C-Painel de Controle'!$D$88+'R&amp;C-Painel de Controle'!$D$89)*('R&amp;C-Painel de Controle'!$D$44+'R&amp;C-Painel de Controle'!$D$46))/1000000),AZ90+((('R&amp;C-Painel de Controle'!$D$88)*('R&amp;C-Painel de Controle'!$D$44+'R&amp;C-Painel de Controle'!$D$46))/1000000))</f>
        <v>93.718403850553656</v>
      </c>
      <c r="BA117" s="306">
        <f>IF('R-Definição'!$E$121="Existente",BA90+((('R&amp;C-Painel de Controle'!$D$88+'R&amp;C-Painel de Controle'!$D$89)*('R&amp;C-Painel de Controle'!$D$44+'R&amp;C-Painel de Controle'!$D$46))/1000000),BA90+((('R&amp;C-Painel de Controle'!$D$88)*('R&amp;C-Painel de Controle'!$D$44+'R&amp;C-Painel de Controle'!$D$46))/1000000))</f>
        <v>93.718403850553656</v>
      </c>
      <c r="BB117" s="306">
        <f>IF('R-Definição'!$E$121="Existente",BB90+((('R&amp;C-Painel de Controle'!$D$88+'R&amp;C-Painel de Controle'!$D$89)*('R&amp;C-Painel de Controle'!$D$44+'R&amp;C-Painel de Controle'!$D$46))/1000000),BB90+((('R&amp;C-Painel de Controle'!$D$88)*('R&amp;C-Painel de Controle'!$D$44+'R&amp;C-Painel de Controle'!$D$46))/1000000))</f>
        <v>93.718403850553656</v>
      </c>
      <c r="BC117" s="306">
        <f>IF('R-Definição'!$E$121="Existente",BC90+((('R&amp;C-Painel de Controle'!$D$88+'R&amp;C-Painel de Controle'!$D$89)*('R&amp;C-Painel de Controle'!$D$44+'R&amp;C-Painel de Controle'!$D$46))/1000000),BC90+((('R&amp;C-Painel de Controle'!$D$88)*('R&amp;C-Painel de Controle'!$D$44+'R&amp;C-Painel de Controle'!$D$46))/1000000))</f>
        <v>93.718403850553656</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31.200917500000003</v>
      </c>
      <c r="D119" s="306">
        <f>(D117+'R&amp;C-Painel de Controle'!$D$28)*(1+$C$118)</f>
        <v>31.200917500000003</v>
      </c>
      <c r="E119" s="306">
        <f>(E117+'R&amp;C-Painel de Controle'!$D$28)*(1+$C$118)</f>
        <v>31.200917500000003</v>
      </c>
      <c r="F119" s="306">
        <f>(F117+'R&amp;C-Painel de Controle'!$D$28)*(1+$C$118)</f>
        <v>94.718403850553656</v>
      </c>
      <c r="G119" s="306">
        <f>(G117+'R&amp;C-Painel de Controle'!$D$28)*(1+$C$118)</f>
        <v>94.718403850553656</v>
      </c>
      <c r="H119" s="306">
        <f>(H117+'R&amp;C-Painel de Controle'!$D$28)*(1+$C$118)</f>
        <v>94.718403850553656</v>
      </c>
      <c r="I119" s="306">
        <f>(I117+'R&amp;C-Painel de Controle'!$D$28)*(1+$C$118)</f>
        <v>94.718403850553656</v>
      </c>
      <c r="J119" s="306">
        <f>(J117+'R&amp;C-Painel de Controle'!$D$28)*(1+$C$118)</f>
        <v>94.718403850553656</v>
      </c>
      <c r="K119" s="306">
        <f>(K117+'R&amp;C-Painel de Controle'!$D$28)*(1+$C$118)</f>
        <v>94.718403850553656</v>
      </c>
      <c r="L119" s="306">
        <f>(L117+'R&amp;C-Painel de Controle'!$D$28)*(1+$C$118)</f>
        <v>94.718403850553656</v>
      </c>
      <c r="M119" s="306">
        <f>(M117+'R&amp;C-Painel de Controle'!$D$28)*(1+$C$118)</f>
        <v>94.718403850553656</v>
      </c>
      <c r="N119" s="306">
        <f>(N117+'R&amp;C-Painel de Controle'!$D$28)*(1+$C$118)</f>
        <v>94.718403850553656</v>
      </c>
      <c r="O119" s="306">
        <f>(O117+'R&amp;C-Painel de Controle'!$D$28)*(1+$C$118)</f>
        <v>94.718403850553656</v>
      </c>
      <c r="P119" s="306">
        <f>(P117+'R&amp;C-Painel de Controle'!$D$28)*(1+$C$118)</f>
        <v>94.718403850553656</v>
      </c>
      <c r="Q119" s="306">
        <f>(Q117+'R&amp;C-Painel de Controle'!$D$28)*(1+$C$118)</f>
        <v>94.718403850553656</v>
      </c>
      <c r="R119" s="306">
        <f>(R117+'R&amp;C-Painel de Controle'!$D$28)*(1+$C$118)</f>
        <v>94.718403850553656</v>
      </c>
      <c r="S119" s="306">
        <f>(S117+'R&amp;C-Painel de Controle'!$D$28)*(1+$C$118)</f>
        <v>94.718403850553656</v>
      </c>
      <c r="T119" s="306">
        <f>(T117+'R&amp;C-Painel de Controle'!$D$28)*(1+$C$118)</f>
        <v>94.718403850553656</v>
      </c>
      <c r="U119" s="306">
        <f>(U117+'R&amp;C-Painel de Controle'!$D$28)*(1+$C$118)</f>
        <v>94.718403850553656</v>
      </c>
      <c r="V119" s="306">
        <f>(V117+'R&amp;C-Painel de Controle'!$D$28)*(1+$C$118)</f>
        <v>94.718403850553656</v>
      </c>
      <c r="W119" s="306">
        <f>(W117+'R&amp;C-Painel de Controle'!$D$28)*(1+$C$118)</f>
        <v>94.718403850553656</v>
      </c>
      <c r="X119" s="306">
        <f>(X117+'R&amp;C-Painel de Controle'!$D$28)*(1+$C$118)</f>
        <v>94.718403850553656</v>
      </c>
      <c r="Y119" s="306">
        <f>(Y117+'R&amp;C-Painel de Controle'!$D$28)*(1+$C$118)</f>
        <v>94.718403850553656</v>
      </c>
      <c r="Z119" s="306">
        <f>(Z117+'R&amp;C-Painel de Controle'!$D$28)*(1+$C$118)</f>
        <v>94.718403850553656</v>
      </c>
      <c r="AA119" s="306">
        <f>(AA117+'R&amp;C-Painel de Controle'!$D$28)*(1+$C$118)</f>
        <v>94.718403850553656</v>
      </c>
      <c r="AB119" s="306">
        <f>(AB117+'R&amp;C-Painel de Controle'!$D$28)*(1+$C$118)</f>
        <v>94.718403850553656</v>
      </c>
      <c r="AC119" s="306">
        <f>(AC117+'R&amp;C-Painel de Controle'!$D$28)*(1+$C$118)</f>
        <v>94.718403850553656</v>
      </c>
      <c r="AD119" s="306">
        <f>(AD117+'R&amp;C-Painel de Controle'!$D$28)*(1+$C$118)</f>
        <v>94.718403850553656</v>
      </c>
      <c r="AE119" s="306">
        <f>(AE117+'R&amp;C-Painel de Controle'!$D$28)*(1+$C$118)</f>
        <v>94.718403850553656</v>
      </c>
      <c r="AF119" s="306">
        <f>(AF117+'R&amp;C-Painel de Controle'!$D$28)*(1+$C$118)</f>
        <v>94.718403850553656</v>
      </c>
      <c r="AG119" s="306">
        <f>(AG117+'R&amp;C-Painel de Controle'!$D$28)*(1+$C$118)</f>
        <v>94.718403850553656</v>
      </c>
      <c r="AH119" s="306">
        <f>(AH117+'R&amp;C-Painel de Controle'!$D$28)*(1+$C$118)</f>
        <v>94.718403850553656</v>
      </c>
      <c r="AI119" s="306">
        <f>(AI117+'R&amp;C-Painel de Controle'!$D$28)*(1+$C$118)</f>
        <v>94.718403850553656</v>
      </c>
      <c r="AJ119" s="306">
        <f>(AJ117+'R&amp;C-Painel de Controle'!$D$28)*(1+$C$118)</f>
        <v>94.718403850553656</v>
      </c>
      <c r="AK119" s="306">
        <f>(AK117+'R&amp;C-Painel de Controle'!$D$28)*(1+$C$118)</f>
        <v>94.718403850553656</v>
      </c>
      <c r="AL119" s="306">
        <f>(AL117+'R&amp;C-Painel de Controle'!$D$28)*(1+$C$118)</f>
        <v>94.718403850553656</v>
      </c>
      <c r="AM119" s="306">
        <f>(AM117+'R&amp;C-Painel de Controle'!$D$28)*(1+$C$118)</f>
        <v>94.718403850553656</v>
      </c>
      <c r="AN119" s="306">
        <f>(AN117+'R&amp;C-Painel de Controle'!$D$28)*(1+$C$118)</f>
        <v>94.718403850553656</v>
      </c>
      <c r="AO119" s="306">
        <f>(AO117+'R&amp;C-Painel de Controle'!$D$28)*(1+$C$118)</f>
        <v>94.718403850553656</v>
      </c>
      <c r="AP119" s="306">
        <f>(AP117+'R&amp;C-Painel de Controle'!$D$28)*(1+$C$118)</f>
        <v>94.718403850553656</v>
      </c>
      <c r="AQ119" s="306">
        <f>(AQ117+'R&amp;C-Painel de Controle'!$D$28)*(1+$C$118)</f>
        <v>94.718403850553656</v>
      </c>
      <c r="AR119" s="306">
        <f>(AR117+'R&amp;C-Painel de Controle'!$D$28)*(1+$C$118)</f>
        <v>94.718403850553656</v>
      </c>
      <c r="AS119" s="306">
        <f>(AS117+'R&amp;C-Painel de Controle'!$D$28)*(1+$C$118)</f>
        <v>94.718403850553656</v>
      </c>
      <c r="AT119" s="306">
        <f>(AT117+'R&amp;C-Painel de Controle'!$D$28)*(1+$C$118)</f>
        <v>94.718403850553656</v>
      </c>
      <c r="AU119" s="306">
        <f>(AU117+'R&amp;C-Painel de Controle'!$D$28)*(1+$C$118)</f>
        <v>94.718403850553656</v>
      </c>
      <c r="AV119" s="306">
        <f>(AV117+'R&amp;C-Painel de Controle'!$D$28)*(1+$C$118)</f>
        <v>94.718403850553656</v>
      </c>
      <c r="AW119" s="306">
        <f>(AW117+'R&amp;C-Painel de Controle'!$D$28)*(1+$C$118)</f>
        <v>94.718403850553656</v>
      </c>
      <c r="AX119" s="306">
        <f>(AX117+'R&amp;C-Painel de Controle'!$D$28)*(1+$C$118)</f>
        <v>94.718403850553656</v>
      </c>
      <c r="AY119" s="306">
        <f>(AY117+'R&amp;C-Painel de Controle'!$D$28)*(1+$C$118)</f>
        <v>94.718403850553656</v>
      </c>
      <c r="AZ119" s="306">
        <f>(AZ117+'R&amp;C-Painel de Controle'!$D$28)*(1+$C$118)</f>
        <v>94.718403850553656</v>
      </c>
      <c r="BA119" s="306">
        <f>(BA117+'R&amp;C-Painel de Controle'!$D$28)*(1+$C$118)</f>
        <v>94.718403850553656</v>
      </c>
      <c r="BB119" s="306">
        <f>(BB117+'R&amp;C-Painel de Controle'!$D$28)*(1+$C$118)</f>
        <v>94.718403850553656</v>
      </c>
      <c r="BC119" s="306">
        <f>(BC117+'R&amp;C-Painel de Controle'!$D$28)*(1+$C$118)</f>
        <v>94.718403850553656</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1565000</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Sim</v>
      </c>
      <c r="D129" s="325">
        <f>D98</f>
        <v>591570</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27.949340169397626</v>
      </c>
      <c r="G131" s="334">
        <f>IF(G45&gt;0,'R&amp;C-Painel de Controle'!$O$59*(1-0.0925)*G35/1000000,0)</f>
        <v>28.080702068193794</v>
      </c>
      <c r="H131" s="334">
        <f>IF(H45&gt;0,'R&amp;C-Painel de Controle'!$O$59*(1-0.0925)*H35/1000000,0)</f>
        <v>28.212681367914303</v>
      </c>
      <c r="I131" s="334">
        <f>IF(I45&gt;0,'R&amp;C-Painel de Controle'!$O$59*(1-0.0925)*I35/1000000,0)</f>
        <v>28.345280970343495</v>
      </c>
      <c r="J131" s="334">
        <f>IF(J45&gt;0,'R&amp;C-Painel de Controle'!$O$59*(1-0.0925)*J35/1000000,0)</f>
        <v>28.478503790904114</v>
      </c>
      <c r="K131" s="334">
        <f>IF(K45&gt;0,'R&amp;C-Painel de Controle'!$O$59*(1-0.0925)*K35/1000000,0)</f>
        <v>28.612352758721354</v>
      </c>
      <c r="L131" s="334">
        <f>IF(L45&gt;0,'R&amp;C-Painel de Controle'!$O$59*(1-0.0925)*L35/1000000,0)</f>
        <v>28.746830816687346</v>
      </c>
      <c r="M131" s="334">
        <f>IF(M45&gt;0,'R&amp;C-Painel de Controle'!$O$59*(1-0.0925)*M35/1000000,0)</f>
        <v>28.881940921525771</v>
      </c>
      <c r="N131" s="334">
        <f>IF(N45&gt;0,'R&amp;C-Painel de Controle'!$O$59*(1-0.0925)*N35/1000000,0)</f>
        <v>29.017686043856944</v>
      </c>
      <c r="O131" s="334">
        <f>IF(O45&gt;0,'R&amp;C-Painel de Controle'!$O$59*(1-0.0925)*O35/1000000,0)</f>
        <v>29.154069168263067</v>
      </c>
      <c r="P131" s="334">
        <f>IF(P45&gt;0,'R&amp;C-Painel de Controle'!$O$59*(1-0.0925)*P35/1000000,0)</f>
        <v>29.291093293353899</v>
      </c>
      <c r="Q131" s="334">
        <f>IF(Q45&gt;0,'R&amp;C-Painel de Controle'!$O$59*(1-0.0925)*Q35/1000000,0)</f>
        <v>29.428761431832665</v>
      </c>
      <c r="R131" s="334">
        <f>IF(R45&gt;0,'R&amp;C-Painel de Controle'!$O$59*(1-0.0925)*R35/1000000,0)</f>
        <v>29.567076610562271</v>
      </c>
      <c r="S131" s="334">
        <f>IF(S45&gt;0,'R&amp;C-Painel de Controle'!$O$59*(1-0.0925)*S35/1000000,0)</f>
        <v>29.70604187063191</v>
      </c>
      <c r="T131" s="334">
        <f>IF(T45&gt;0,'R&amp;C-Painel de Controle'!$O$59*(1-0.0925)*T35/1000000,0)</f>
        <v>29.845660267423881</v>
      </c>
      <c r="U131" s="334">
        <f>IF(U45&gt;0,'R&amp;C-Painel de Controle'!$O$59*(1-0.0925)*U35/1000000,0)</f>
        <v>29.985934870680772</v>
      </c>
      <c r="V131" s="334">
        <f>IF(V45&gt;0,'R&amp;C-Painel de Controle'!$O$59*(1-0.0925)*V35/1000000,0)</f>
        <v>30.126868764572972</v>
      </c>
      <c r="W131" s="334">
        <f>IF(W45&gt;0,'R&amp;C-Painel de Controle'!$O$59*(1-0.0925)*W35/1000000,0)</f>
        <v>30.268465047766462</v>
      </c>
      <c r="X131" s="334">
        <f>IF(X45&gt;0,'R&amp;C-Painel de Controle'!$O$59*(1-0.0925)*X35/1000000,0)</f>
        <v>30.410726833490962</v>
      </c>
      <c r="Y131" s="334">
        <f>IF(Y45&gt;0,'R&amp;C-Painel de Controle'!$O$59*(1-0.0925)*Y35/1000000,0)</f>
        <v>30.553657249608364</v>
      </c>
      <c r="Z131" s="334">
        <f>IF(Z45&gt;0,'R&amp;C-Painel de Controle'!$O$59*(1-0.0925)*Z35/1000000,0)</f>
        <v>30.697259438681524</v>
      </c>
      <c r="AA131" s="334">
        <f>IF(AA45&gt;0,'R&amp;C-Painel de Controle'!$O$59*(1-0.0925)*AA35/1000000,0)</f>
        <v>30.841536558043323</v>
      </c>
      <c r="AB131" s="334">
        <f>IF(AB45&gt;0,'R&amp;C-Painel de Controle'!$O$59*(1-0.0925)*AB35/1000000,0)</f>
        <v>30.986491779866125</v>
      </c>
      <c r="AC131" s="334">
        <f>IF(AC45&gt;0,'R&amp;C-Painel de Controle'!$O$59*(1-0.0925)*AC35/1000000,0)</f>
        <v>31.132128291231499</v>
      </c>
      <c r="AD131" s="334">
        <f>IF(AD45&gt;0,'R&amp;C-Painel de Controle'!$O$59*(1-0.0925)*AD35/1000000,0)</f>
        <v>31.278449294200282</v>
      </c>
      <c r="AE131" s="334">
        <f>IF(AE45&gt;0,'R&amp;C-Painel de Controle'!$O$59*(1-0.0925)*AE35/1000000,0)</f>
        <v>31.425458005883023</v>
      </c>
      <c r="AF131" s="334">
        <f>IF(AF45&gt;0,'R&amp;C-Painel de Controle'!$O$59*(1-0.0925)*AF35/1000000,0)</f>
        <v>31.57315765851067</v>
      </c>
      <c r="AG131" s="334">
        <f>IF(AG45&gt;0,'R&amp;C-Painel de Controle'!$O$59*(1-0.0925)*AG35/1000000,0)</f>
        <v>31.721551499505669</v>
      </c>
      <c r="AH131" s="334">
        <f>IF(AH45&gt;0,'R&amp;C-Painel de Controle'!$O$59*(1-0.0925)*AH35/1000000,0)</f>
        <v>31.870642791553344</v>
      </c>
      <c r="AI131" s="334">
        <f>IF(AI45&gt;0,'R&amp;C-Painel de Controle'!$O$59*(1-0.0925)*AI35/1000000,0)</f>
        <v>32.020434812673642</v>
      </c>
      <c r="AJ131" s="334">
        <f>IF(AJ45&gt;0,'R&amp;C-Painel de Controle'!$O$59*(1-0.0925)*AJ35/1000000,0)</f>
        <v>32.170930856293204</v>
      </c>
      <c r="AK131" s="334">
        <f>IF(AK45&gt;0,'R&amp;C-Painel de Controle'!$O$59*(1-0.0925)*AK35/1000000,0)</f>
        <v>32.322134231317776</v>
      </c>
      <c r="AL131" s="334">
        <f>IF(AL45&gt;0,'R&amp;C-Painel de Controle'!$O$59*(1-0.0925)*AL35/1000000,0)</f>
        <v>32.474048262204967</v>
      </c>
      <c r="AM131" s="334">
        <f>IF(AM45&gt;0,'R&amp;C-Painel de Controle'!$O$59*(1-0.0925)*AM35/1000000,0)</f>
        <v>32.626676289037327</v>
      </c>
      <c r="AN131" s="334">
        <f>IF(AN45&gt;0,'R&amp;C-Painel de Controle'!$O$59*(1-0.0925)*AN35/1000000,0)</f>
        <v>32.780021667595804</v>
      </c>
      <c r="AO131" s="334">
        <f>IF(AO45&gt;0,'R&amp;C-Painel de Controle'!$O$59*(1-0.0925)*AO35/1000000,0)</f>
        <v>32.934087769433503</v>
      </c>
      <c r="AP131" s="334">
        <f>IF(AP45&gt;0,'R&amp;C-Painel de Controle'!$O$59*(1-0.0925)*AP35/1000000,0)</f>
        <v>33.088877981949842</v>
      </c>
      <c r="AQ131" s="334">
        <f>IF(AQ45&gt;0,'R&amp;C-Painel de Controle'!$O$59*(1-0.0925)*AQ35/1000000,0)</f>
        <v>33.244395708464999</v>
      </c>
      <c r="AR131" s="334">
        <f>IF(AR45&gt;0,'R&amp;C-Painel de Controle'!$O$59*(1-0.0925)*AR35/1000000,0)</f>
        <v>33.400644368294785</v>
      </c>
      <c r="AS131" s="334">
        <f>IF(AS45&gt;0,'R&amp;C-Painel de Controle'!$O$59*(1-0.0925)*AS35/1000000,0)</f>
        <v>33.557627396825765</v>
      </c>
      <c r="AT131" s="334">
        <f>IF(AT45&gt;0,'R&amp;C-Painel de Controle'!$O$59*(1-0.0925)*AT35/1000000,0)</f>
        <v>33.715348245590846</v>
      </c>
      <c r="AU131" s="334">
        <f>IF(AU45&gt;0,'R&amp;C-Painel de Controle'!$O$59*(1-0.0925)*AU35/1000000,0)</f>
        <v>33.87381038234512</v>
      </c>
      <c r="AV131" s="334">
        <f>IF(AV45&gt;0,'R&amp;C-Painel de Controle'!$O$59*(1-0.0925)*AV35/1000000,0)</f>
        <v>34.033017291142137</v>
      </c>
      <c r="AW131" s="334">
        <f>IF(AW45&gt;0,'R&amp;C-Painel de Controle'!$O$59*(1-0.0925)*AW35/1000000,0)</f>
        <v>34.192972472410503</v>
      </c>
      <c r="AX131" s="334">
        <f>IF(AX45&gt;0,'R&amp;C-Painel de Controle'!$O$59*(1-0.0925)*AX35/1000000,0)</f>
        <v>34.353679443030835</v>
      </c>
      <c r="AY131" s="334">
        <f>IF(AY45&gt;0,'R&amp;C-Painel de Controle'!$O$59*(1-0.0925)*AY35/1000000,0)</f>
        <v>34.515141736413078</v>
      </c>
      <c r="AZ131" s="334">
        <f>IF(AZ45&gt;0,'R&amp;C-Painel de Controle'!$O$59*(1-0.0925)*AZ35/1000000,0)</f>
        <v>34.67736290257421</v>
      </c>
      <c r="BA131" s="334">
        <f>IF(BA45&gt;0,'R&amp;C-Painel de Controle'!$O$59*(1-0.0925)*BA35/1000000,0)</f>
        <v>34.840346508216307</v>
      </c>
      <c r="BB131" s="334">
        <f>IF(BB45&gt;0,'R&amp;C-Painel de Controle'!$O$59*(1-0.0925)*BB35/1000000,0)</f>
        <v>35.004096136804925</v>
      </c>
      <c r="BC131" s="334">
        <f>IF(BC45&gt;0,'R&amp;C-Painel de Controle'!$O$59*(1-0.0925)*BC35/1000000,0)</f>
        <v>35.168615388647908</v>
      </c>
      <c r="BD131" s="305"/>
      <c r="BE131" s="305"/>
      <c r="BF131" s="305"/>
    </row>
    <row r="132" spans="2:58" s="206" customFormat="1" ht="18" hidden="1" customHeight="1" outlineLevel="1" x14ac:dyDescent="0.25">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25">
      <c r="B135" s="906" t="str">
        <f>B104</f>
        <v>Biodigestão Anaeróbia</v>
      </c>
      <c r="C135" s="325" t="str">
        <f>C104</f>
        <v>Sim</v>
      </c>
      <c r="D135" s="325">
        <f>D104</f>
        <v>683748.5</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70.539829954066832</v>
      </c>
      <c r="G137" s="334">
        <f>IF(G51&gt;0,'R&amp;C-Painel de Controle'!$O$65*(1-0.0925-$C$10)*G35/1000000,0)</f>
        <v>70.87136715485093</v>
      </c>
      <c r="H137" s="334">
        <f>IF(H51&gt;0,'R&amp;C-Painel de Controle'!$O$65*(1-0.0925-$C$10)*H35/1000000,0)</f>
        <v>71.204462580478733</v>
      </c>
      <c r="I137" s="334">
        <f>IF(I51&gt;0,'R&amp;C-Painel de Controle'!$O$65*(1-0.0925-$C$10)*I35/1000000,0)</f>
        <v>71.539123554606974</v>
      </c>
      <c r="J137" s="334">
        <f>IF(J51&gt;0,'R&amp;C-Painel de Controle'!$O$65*(1-0.0925-$C$10)*J35/1000000,0)</f>
        <v>71.875357435313632</v>
      </c>
      <c r="K137" s="334">
        <f>IF(K51&gt;0,'R&amp;C-Painel de Controle'!$O$65*(1-0.0925-$C$10)*K35/1000000,0)</f>
        <v>72.213171615259583</v>
      </c>
      <c r="L137" s="334">
        <f>IF(L51&gt;0,'R&amp;C-Painel de Controle'!$O$65*(1-0.0925-$C$10)*L35/1000000,0)</f>
        <v>72.552573521851301</v>
      </c>
      <c r="M137" s="334">
        <f>IF(M51&gt;0,'R&amp;C-Painel de Controle'!$O$65*(1-0.0925-$C$10)*M35/1000000,0)</f>
        <v>72.893570617403995</v>
      </c>
      <c r="N137" s="334">
        <f>IF(N51&gt;0,'R&amp;C-Painel de Controle'!$O$65*(1-0.0925-$C$10)*N35/1000000,0)</f>
        <v>73.236170399305792</v>
      </c>
      <c r="O137" s="334">
        <f>IF(O51&gt;0,'R&amp;C-Painel de Controle'!$O$65*(1-0.0925-$C$10)*O35/1000000,0)</f>
        <v>73.580380400182534</v>
      </c>
      <c r="P137" s="334">
        <f>IF(P51&gt;0,'R&amp;C-Painel de Controle'!$O$65*(1-0.0925-$C$10)*P35/1000000,0)</f>
        <v>73.92620818806337</v>
      </c>
      <c r="Q137" s="334">
        <f>IF(Q51&gt;0,'R&amp;C-Painel de Controle'!$O$65*(1-0.0925-$C$10)*Q35/1000000,0)</f>
        <v>74.273661366547273</v>
      </c>
      <c r="R137" s="334">
        <f>IF(R51&gt;0,'R&amp;C-Painel de Controle'!$O$65*(1-0.0925-$C$10)*R35/1000000,0)</f>
        <v>74.622747574970035</v>
      </c>
      <c r="S137" s="334">
        <f>IF(S51&gt;0,'R&amp;C-Painel de Controle'!$O$65*(1-0.0925-$C$10)*S35/1000000,0)</f>
        <v>74.973474488572393</v>
      </c>
      <c r="T137" s="334">
        <f>IF(T51&gt;0,'R&amp;C-Painel de Controle'!$O$65*(1-0.0925-$C$10)*T35/1000000,0)</f>
        <v>75.325849818668658</v>
      </c>
      <c r="U137" s="334">
        <f>IF(U51&gt;0,'R&amp;C-Painel de Controle'!$O$65*(1-0.0925-$C$10)*U35/1000000,0)</f>
        <v>75.679881312816406</v>
      </c>
      <c r="V137" s="334">
        <f>IF(V51&gt;0,'R&amp;C-Painel de Controle'!$O$65*(1-0.0925-$C$10)*V35/1000000,0)</f>
        <v>76.03557675498665</v>
      </c>
      <c r="W137" s="334">
        <f>IF(W51&gt;0,'R&amp;C-Painel de Controle'!$O$65*(1-0.0925-$C$10)*W35/1000000,0)</f>
        <v>76.392943965735071</v>
      </c>
      <c r="X137" s="334">
        <f>IF(X51&gt;0,'R&amp;C-Painel de Controle'!$O$65*(1-0.0925-$C$10)*X35/1000000,0)</f>
        <v>76.751990802374024</v>
      </c>
      <c r="Y137" s="334">
        <f>IF(Y51&gt;0,'R&amp;C-Painel de Controle'!$O$65*(1-0.0925-$C$10)*Y35/1000000,0)</f>
        <v>77.112725159145171</v>
      </c>
      <c r="Z137" s="334">
        <f>IF(Z51&gt;0,'R&amp;C-Painel de Controle'!$O$65*(1-0.0925-$C$10)*Z35/1000000,0)</f>
        <v>77.475154967393166</v>
      </c>
      <c r="AA137" s="334">
        <f>IF(AA51&gt;0,'R&amp;C-Painel de Controle'!$O$65*(1-0.0925-$C$10)*AA35/1000000,0)</f>
        <v>77.839288195739897</v>
      </c>
      <c r="AB137" s="334">
        <f>IF(AB51&gt;0,'R&amp;C-Painel de Controle'!$O$65*(1-0.0925-$C$10)*AB35/1000000,0)</f>
        <v>78.205132850259872</v>
      </c>
      <c r="AC137" s="334">
        <f>IF(AC51&gt;0,'R&amp;C-Painel de Controle'!$O$65*(1-0.0925-$C$10)*AC35/1000000,0)</f>
        <v>78.572696974656097</v>
      </c>
      <c r="AD137" s="334">
        <f>IF(AD51&gt;0,'R&amp;C-Painel de Controle'!$O$65*(1-0.0925-$C$10)*AD35/1000000,0)</f>
        <v>78.941988650436969</v>
      </c>
      <c r="AE137" s="334">
        <f>IF(AE51&gt;0,'R&amp;C-Painel de Controle'!$O$65*(1-0.0925-$C$10)*AE35/1000000,0)</f>
        <v>79.313015997094027</v>
      </c>
      <c r="AF137" s="334">
        <f>IF(AF51&gt;0,'R&amp;C-Painel de Controle'!$O$65*(1-0.0925-$C$10)*AF35/1000000,0)</f>
        <v>79.685787172280357</v>
      </c>
      <c r="AG137" s="334">
        <f>IF(AG51&gt;0,'R&amp;C-Painel de Controle'!$O$65*(1-0.0925-$C$10)*AG35/1000000,0)</f>
        <v>80.06031037199007</v>
      </c>
      <c r="AH137" s="334">
        <f>IF(AH51&gt;0,'R&amp;C-Painel de Controle'!$O$65*(1-0.0925-$C$10)*AH35/1000000,0)</f>
        <v>80.436593830738417</v>
      </c>
      <c r="AI137" s="334">
        <f>IF(AI51&gt;0,'R&amp;C-Painel de Controle'!$O$65*(1-0.0925-$C$10)*AI35/1000000,0)</f>
        <v>80.814645821742872</v>
      </c>
      <c r="AJ137" s="334">
        <f>IF(AJ51&gt;0,'R&amp;C-Painel de Controle'!$O$65*(1-0.0925-$C$10)*AJ35/1000000,0)</f>
        <v>81.194474657105062</v>
      </c>
      <c r="AK137" s="334">
        <f>IF(AK51&gt;0,'R&amp;C-Painel de Controle'!$O$65*(1-0.0925-$C$10)*AK35/1000000,0)</f>
        <v>81.576088687993447</v>
      </c>
      <c r="AL137" s="334">
        <f>IF(AL51&gt;0,'R&amp;C-Painel de Controle'!$O$65*(1-0.0925-$C$10)*AL35/1000000,0)</f>
        <v>81.959496304826999</v>
      </c>
      <c r="AM137" s="334">
        <f>IF(AM51&gt;0,'R&amp;C-Painel de Controle'!$O$65*(1-0.0925-$C$10)*AM35/1000000,0)</f>
        <v>82.344705937459693</v>
      </c>
      <c r="AN137" s="334">
        <f>IF(AN51&gt;0,'R&amp;C-Painel de Controle'!$O$65*(1-0.0925-$C$10)*AN35/1000000,0)</f>
        <v>82.731726055365741</v>
      </c>
      <c r="AO137" s="334">
        <f>IF(AO51&gt;0,'R&amp;C-Painel de Controle'!$O$65*(1-0.0925-$C$10)*AO35/1000000,0)</f>
        <v>83.120565167825973</v>
      </c>
      <c r="AP137" s="334">
        <f>IF(AP51&gt;0,'R&amp;C-Painel de Controle'!$O$65*(1-0.0925-$C$10)*AP35/1000000,0)</f>
        <v>83.511231824114745</v>
      </c>
      <c r="AQ137" s="334">
        <f>IF(AQ51&gt;0,'R&amp;C-Painel de Controle'!$O$65*(1-0.0925-$C$10)*AQ35/1000000,0)</f>
        <v>83.903734613688073</v>
      </c>
      <c r="AR137" s="334">
        <f>IF(AR51&gt;0,'R&amp;C-Painel de Controle'!$O$65*(1-0.0925-$C$10)*AR35/1000000,0)</f>
        <v>84.29808216637241</v>
      </c>
      <c r="AS137" s="334">
        <f>IF(AS51&gt;0,'R&amp;C-Painel de Controle'!$O$65*(1-0.0925-$C$10)*AS35/1000000,0)</f>
        <v>84.694283152554348</v>
      </c>
      <c r="AT137" s="334">
        <f>IF(AT51&gt;0,'R&amp;C-Painel de Controle'!$O$65*(1-0.0925-$C$10)*AT35/1000000,0)</f>
        <v>85.092346283371342</v>
      </c>
      <c r="AU137" s="334">
        <f>IF(AU51&gt;0,'R&amp;C-Painel de Controle'!$O$65*(1-0.0925-$C$10)*AU35/1000000,0)</f>
        <v>85.492280310903183</v>
      </c>
      <c r="AV137" s="334">
        <f>IF(AV51&gt;0,'R&amp;C-Painel de Controle'!$O$65*(1-0.0925-$C$10)*AV35/1000000,0)</f>
        <v>85.894094028364421</v>
      </c>
      <c r="AW137" s="334">
        <f>IF(AW51&gt;0,'R&amp;C-Painel de Controle'!$O$65*(1-0.0925-$C$10)*AW35/1000000,0)</f>
        <v>86.297796270297724</v>
      </c>
      <c r="AX137" s="334">
        <f>IF(AX51&gt;0,'R&amp;C-Painel de Controle'!$O$65*(1-0.0925-$C$10)*AX35/1000000,0)</f>
        <v>86.703395912768116</v>
      </c>
      <c r="AY137" s="334">
        <f>IF(AY51&gt;0,'R&amp;C-Painel de Controle'!$O$65*(1-0.0925-$C$10)*AY35/1000000,0)</f>
        <v>87.11090187355812</v>
      </c>
      <c r="AZ137" s="334">
        <f>IF(AZ51&gt;0,'R&amp;C-Painel de Controle'!$O$65*(1-0.0925-$C$10)*AZ35/1000000,0)</f>
        <v>87.52032311236384</v>
      </c>
      <c r="BA137" s="334">
        <f>IF(BA51&gt;0,'R&amp;C-Painel de Controle'!$O$65*(1-0.0925-$C$10)*BA35/1000000,0)</f>
        <v>87.931668630991936</v>
      </c>
      <c r="BB137" s="334">
        <f>IF(BB51&gt;0,'R&amp;C-Painel de Controle'!$O$65*(1-0.0925-$C$10)*BB35/1000000,0)</f>
        <v>88.344947473557596</v>
      </c>
      <c r="BC137" s="334">
        <f>IF(BC51&gt;0,'R&amp;C-Painel de Controle'!$O$65*(1-0.0925-$C$10)*BC35/1000000,0)</f>
        <v>88.760168726683318</v>
      </c>
      <c r="BD137" s="305"/>
      <c r="BE137" s="305"/>
      <c r="BF137" s="305"/>
    </row>
    <row r="138" spans="2:58" s="206" customFormat="1" ht="18" hidden="1" customHeight="1" outlineLevel="1" x14ac:dyDescent="0.25">
      <c r="B138" s="906" t="str">
        <f>B107</f>
        <v>Compostagem</v>
      </c>
      <c r="C138" s="325" t="str">
        <f>C107</f>
        <v>Sim</v>
      </c>
      <c r="D138" s="325">
        <f>D107</f>
        <v>581186.22499999998</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Não</v>
      </c>
      <c r="D141" s="325">
        <f>D110</f>
        <v>0</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25">
      <c r="B144" s="906" t="str">
        <f>B113</f>
        <v>Aterro Sanitário</v>
      </c>
      <c r="C144" s="325" t="str">
        <f>C113</f>
        <v>Sim</v>
      </c>
      <c r="D144" s="325">
        <f>D113</f>
        <v>624734.30625000002</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161.99453171195762</v>
      </c>
      <c r="D148" s="306">
        <f t="shared" si="51"/>
        <v>162.75590601100384</v>
      </c>
      <c r="E148" s="306">
        <f t="shared" si="51"/>
        <v>163.52085876925551</v>
      </c>
      <c r="F148" s="306">
        <f t="shared" si="51"/>
        <v>164.28940680547097</v>
      </c>
      <c r="G148" s="306">
        <f t="shared" si="51"/>
        <v>165.0615670174567</v>
      </c>
      <c r="H148" s="306">
        <f t="shared" si="51"/>
        <v>165.83735638243877</v>
      </c>
      <c r="I148" s="306">
        <f t="shared" si="51"/>
        <v>166.61679195743619</v>
      </c>
      <c r="J148" s="306">
        <f t="shared" si="51"/>
        <v>167.3998908796361</v>
      </c>
      <c r="K148" s="306">
        <f t="shared" si="51"/>
        <v>168.18667036677039</v>
      </c>
      <c r="L148" s="306">
        <f t="shared" si="51"/>
        <v>168.97714771749423</v>
      </c>
      <c r="M148" s="306">
        <f t="shared" si="51"/>
        <v>169.77134031176644</v>
      </c>
      <c r="N148" s="306">
        <f t="shared" si="51"/>
        <v>170.56926561123174</v>
      </c>
      <c r="O148" s="306">
        <f t="shared" si="51"/>
        <v>171.37094115960451</v>
      </c>
      <c r="P148" s="306">
        <f t="shared" si="51"/>
        <v>172.17638458305464</v>
      </c>
      <c r="Q148" s="306">
        <f t="shared" si="51"/>
        <v>172.98561359059497</v>
      </c>
      <c r="R148" s="306">
        <f t="shared" si="51"/>
        <v>173.79864597447073</v>
      </c>
      <c r="S148" s="306">
        <f t="shared" si="51"/>
        <v>174.61549961055073</v>
      </c>
      <c r="T148" s="306">
        <f t="shared" si="51"/>
        <v>175.43619245872031</v>
      </c>
      <c r="U148" s="306">
        <f t="shared" si="51"/>
        <v>176.2607425632763</v>
      </c>
      <c r="V148" s="306">
        <f t="shared" si="51"/>
        <v>177.08916805332368</v>
      </c>
      <c r="W148" s="306">
        <f t="shared" si="51"/>
        <v>177.92148714317432</v>
      </c>
      <c r="X148" s="306">
        <f t="shared" si="51"/>
        <v>178.75771813274719</v>
      </c>
      <c r="Y148" s="306">
        <f t="shared" si="51"/>
        <v>179.59787940797108</v>
      </c>
      <c r="Z148" s="306">
        <f t="shared" si="51"/>
        <v>180.44198944118855</v>
      </c>
      <c r="AA148" s="306">
        <f t="shared" si="51"/>
        <v>181.29006679156214</v>
      </c>
      <c r="AB148" s="306">
        <f t="shared" si="51"/>
        <v>182.14213010548244</v>
      </c>
      <c r="AC148" s="306">
        <f t="shared" si="51"/>
        <v>182.99819811697822</v>
      </c>
      <c r="AD148" s="306">
        <f t="shared" si="51"/>
        <v>183.85828964812799</v>
      </c>
      <c r="AE148" s="306">
        <f t="shared" si="51"/>
        <v>184.72242360947422</v>
      </c>
      <c r="AF148" s="306">
        <f t="shared" si="51"/>
        <v>185.59061900043869</v>
      </c>
      <c r="AG148" s="306">
        <f t="shared" si="51"/>
        <v>186.46289490974073</v>
      </c>
      <c r="AH148" s="306">
        <f t="shared" si="51"/>
        <v>187.33927051581654</v>
      </c>
      <c r="AI148" s="306">
        <f t="shared" ref="AI148:BC148" si="52">AI35*$H$26*(1-0.0925-$C$10)/1000000+AI149</f>
        <v>188.21976508724086</v>
      </c>
      <c r="AJ148" s="306">
        <f t="shared" si="52"/>
        <v>189.10439798315085</v>
      </c>
      <c r="AK148" s="306">
        <f t="shared" si="52"/>
        <v>189.99318865367164</v>
      </c>
      <c r="AL148" s="306">
        <f t="shared" si="52"/>
        <v>190.88615664034387</v>
      </c>
      <c r="AM148" s="306">
        <f t="shared" si="52"/>
        <v>191.78332157655348</v>
      </c>
      <c r="AN148" s="306">
        <f t="shared" si="52"/>
        <v>192.68470318796329</v>
      </c>
      <c r="AO148" s="306">
        <f t="shared" si="52"/>
        <v>193.5903212929467</v>
      </c>
      <c r="AP148" s="306">
        <f t="shared" si="52"/>
        <v>194.50019580302353</v>
      </c>
      <c r="AQ148" s="306">
        <f t="shared" si="52"/>
        <v>195.41434672329771</v>
      </c>
      <c r="AR148" s="306">
        <f t="shared" si="52"/>
        <v>196.33279415289724</v>
      </c>
      <c r="AS148" s="306">
        <f t="shared" si="52"/>
        <v>197.25555828541582</v>
      </c>
      <c r="AT148" s="306">
        <f t="shared" si="52"/>
        <v>198.18265940935729</v>
      </c>
      <c r="AU148" s="306">
        <f t="shared" si="52"/>
        <v>199.11411790858122</v>
      </c>
      <c r="AV148" s="306">
        <f t="shared" si="52"/>
        <v>200.04995426275156</v>
      </c>
      <c r="AW148" s="306">
        <f t="shared" si="52"/>
        <v>200.99018904778646</v>
      </c>
      <c r="AX148" s="306">
        <f t="shared" si="52"/>
        <v>201.93484293631104</v>
      </c>
      <c r="AY148" s="306">
        <f t="shared" si="52"/>
        <v>202.88393669811171</v>
      </c>
      <c r="AZ148" s="306">
        <f t="shared" si="52"/>
        <v>203.83749120059284</v>
      </c>
      <c r="BA148" s="306">
        <f t="shared" si="52"/>
        <v>204.7955274092356</v>
      </c>
      <c r="BB148" s="306">
        <f t="shared" si="52"/>
        <v>205.75806638805898</v>
      </c>
      <c r="BC148" s="306">
        <f t="shared" si="52"/>
        <v>206.72512930008281</v>
      </c>
    </row>
    <row r="149" spans="2:58" s="206" customFormat="1" ht="16.899999999999999" customHeight="1" x14ac:dyDescent="0.25">
      <c r="B149" s="206" t="s">
        <v>991</v>
      </c>
      <c r="C149" s="306">
        <f>'R&amp;C-Painel de Controle'!D31*312*'R&amp;C-Painel de Controle'!H31*(1-0.0925-$C$10)/1000000</f>
        <v>0.76713430633870072</v>
      </c>
      <c r="D149" s="306">
        <f>C149*(1+'R&amp;C-Painel de Controle'!$D$27)</f>
        <v>0.77073983757849251</v>
      </c>
      <c r="E149" s="306">
        <f>D149*(1+'R&amp;C-Painel de Controle'!$D$27)</f>
        <v>0.77436231481511142</v>
      </c>
      <c r="F149" s="306">
        <f>E149*(1+'R&amp;C-Painel de Controle'!$D$27)</f>
        <v>0.77800181769474241</v>
      </c>
      <c r="G149" s="306">
        <f>F149*(1+'R&amp;C-Painel de Controle'!$D$27)</f>
        <v>0.7816584262379076</v>
      </c>
      <c r="H149" s="306">
        <f>G149*(1+'R&amp;C-Painel de Controle'!$D$27)</f>
        <v>0.78533222084122567</v>
      </c>
      <c r="I149" s="306">
        <f>H149*(1+'R&amp;C-Painel de Controle'!$D$27)</f>
        <v>0.78902328227917939</v>
      </c>
      <c r="J149" s="306">
        <f>I149*(1+'R&amp;C-Painel de Controle'!$D$27)</f>
        <v>0.79273169170589153</v>
      </c>
      <c r="K149" s="306">
        <f>J149*(1+'R&amp;C-Painel de Controle'!$D$27)</f>
        <v>0.79645753065690916</v>
      </c>
      <c r="L149" s="306">
        <f>K149*(1+'R&amp;C-Painel de Controle'!$D$27)</f>
        <v>0.80020088105099663</v>
      </c>
      <c r="M149" s="306">
        <f>L149*(1+'R&amp;C-Painel de Controle'!$D$27)</f>
        <v>0.80396182519193626</v>
      </c>
      <c r="N149" s="306">
        <f>M149*(1+'R&amp;C-Painel de Controle'!$D$27)</f>
        <v>0.80774044577033832</v>
      </c>
      <c r="O149" s="306">
        <f>N149*(1+'R&amp;C-Painel de Controle'!$D$27)</f>
        <v>0.81153682586545883</v>
      </c>
      <c r="P149" s="306">
        <f>O149*(1+'R&amp;C-Painel de Controle'!$D$27)</f>
        <v>0.81535104894702648</v>
      </c>
      <c r="Q149" s="306">
        <f>P149*(1+'R&amp;C-Painel de Controle'!$D$27)</f>
        <v>0.81918319887707747</v>
      </c>
      <c r="R149" s="306">
        <f>Q149*(1+'R&amp;C-Painel de Controle'!$D$27)</f>
        <v>0.82303335991179971</v>
      </c>
      <c r="S149" s="306">
        <f>R149*(1+'R&amp;C-Painel de Controle'!$D$27)</f>
        <v>0.82690161670338513</v>
      </c>
      <c r="T149" s="306">
        <f>S149*(1+'R&amp;C-Painel de Controle'!$D$27)</f>
        <v>0.83078805430189095</v>
      </c>
      <c r="U149" s="306">
        <f>T149*(1+'R&amp;C-Painel de Controle'!$D$27)</f>
        <v>0.83469275815710975</v>
      </c>
      <c r="V149" s="306">
        <f>U149*(1+'R&amp;C-Painel de Controle'!$D$27)</f>
        <v>0.83861581412044806</v>
      </c>
      <c r="W149" s="306">
        <f>V149*(1+'R&amp;C-Painel de Controle'!$D$27)</f>
        <v>0.84255730844681409</v>
      </c>
      <c r="X149" s="306">
        <f>W149*(1+'R&amp;C-Painel de Controle'!$D$27)</f>
        <v>0.84651732779651401</v>
      </c>
      <c r="Y149" s="306">
        <f>X149*(1+'R&amp;C-Painel de Controle'!$D$27)</f>
        <v>0.85049595923715759</v>
      </c>
      <c r="Z149" s="306">
        <f>Y149*(1+'R&amp;C-Painel de Controle'!$D$27)</f>
        <v>0.85449329024557219</v>
      </c>
      <c r="AA149" s="306">
        <f>Z149*(1+'R&amp;C-Painel de Controle'!$D$27)</f>
        <v>0.85850940870972636</v>
      </c>
      <c r="AB149" s="306">
        <f>AA149*(1+'R&amp;C-Painel de Controle'!$D$27)</f>
        <v>0.86254440293066204</v>
      </c>
      <c r="AC149" s="306">
        <f>AB149*(1+'R&amp;C-Painel de Controle'!$D$27)</f>
        <v>0.86659836162443604</v>
      </c>
      <c r="AD149" s="306">
        <f>AC149*(1+'R&amp;C-Painel de Controle'!$D$27)</f>
        <v>0.87067137392407079</v>
      </c>
      <c r="AE149" s="306">
        <f>AD149*(1+'R&amp;C-Painel de Controle'!$D$27)</f>
        <v>0.8747635293815138</v>
      </c>
      <c r="AF149" s="306">
        <f>AE149*(1+'R&amp;C-Painel de Controle'!$D$27)</f>
        <v>0.87887491796960682</v>
      </c>
      <c r="AG149" s="306">
        <f>AF149*(1+'R&amp;C-Painel de Controle'!$D$27)</f>
        <v>0.88300563008406385</v>
      </c>
      <c r="AH149" s="306">
        <f>AG149*(1+'R&amp;C-Painel de Controle'!$D$27)</f>
        <v>0.88715575654545886</v>
      </c>
      <c r="AI149" s="306">
        <f>AH149*(1+'R&amp;C-Painel de Controle'!$D$27)</f>
        <v>0.89132538860122246</v>
      </c>
      <c r="AJ149" s="306">
        <f>AI149*(1+'R&amp;C-Painel de Controle'!$D$27)</f>
        <v>0.89551461792764808</v>
      </c>
      <c r="AK149" s="306">
        <f>AJ149*(1+'R&amp;C-Painel de Controle'!$D$27)</f>
        <v>0.89972353663190796</v>
      </c>
      <c r="AL149" s="306">
        <f>AK149*(1+'R&amp;C-Painel de Controle'!$D$27)</f>
        <v>0.90395223725407792</v>
      </c>
      <c r="AM149" s="306">
        <f>AL149*(1+'R&amp;C-Painel de Controle'!$D$27)</f>
        <v>0.90820081276917197</v>
      </c>
      <c r="AN149" s="306">
        <f>AM149*(1+'R&amp;C-Painel de Controle'!$D$27)</f>
        <v>0.91246935658918704</v>
      </c>
      <c r="AO149" s="306">
        <f>AN149*(1+'R&amp;C-Painel de Controle'!$D$27)</f>
        <v>0.91675796256515618</v>
      </c>
      <c r="AP149" s="306">
        <f>AO149*(1+'R&amp;C-Painel de Controle'!$D$27)</f>
        <v>0.92106672498921238</v>
      </c>
      <c r="AQ149" s="306">
        <f>AP149*(1+'R&amp;C-Painel de Controle'!$D$27)</f>
        <v>0.92539573859666158</v>
      </c>
      <c r="AR149" s="306">
        <f>AQ149*(1+'R&amp;C-Painel de Controle'!$D$27)</f>
        <v>0.92974509856806586</v>
      </c>
      <c r="AS149" s="306">
        <f>AR149*(1+'R&amp;C-Painel de Controle'!$D$27)</f>
        <v>0.93411490053133572</v>
      </c>
      <c r="AT149" s="306">
        <f>AS149*(1+'R&amp;C-Painel de Controle'!$D$27)</f>
        <v>0.93850524056383289</v>
      </c>
      <c r="AU149" s="306">
        <f>AT149*(1+'R&amp;C-Painel de Controle'!$D$27)</f>
        <v>0.94291621519448288</v>
      </c>
      <c r="AV149" s="306">
        <f>AU149*(1+'R&amp;C-Painel de Controle'!$D$27)</f>
        <v>0.94734792140589685</v>
      </c>
      <c r="AW149" s="306">
        <f>AV149*(1+'R&amp;C-Painel de Controle'!$D$27)</f>
        <v>0.95180045663650448</v>
      </c>
      <c r="AX149" s="306">
        <f>AW149*(1+'R&amp;C-Painel de Controle'!$D$27)</f>
        <v>0.95627391878269596</v>
      </c>
      <c r="AY149" s="306">
        <f>AX149*(1+'R&amp;C-Painel de Controle'!$D$27)</f>
        <v>0.96076840620097459</v>
      </c>
      <c r="AZ149" s="306">
        <f>AY149*(1+'R&amp;C-Painel de Controle'!$D$27)</f>
        <v>0.96528401771011907</v>
      </c>
      <c r="BA149" s="306">
        <f>AZ149*(1+'R&amp;C-Painel de Controle'!$D$27)</f>
        <v>0.9698208525933566</v>
      </c>
      <c r="BB149" s="306">
        <f>BA149*(1+'R&amp;C-Painel de Controle'!$D$27)</f>
        <v>0.97437901060054533</v>
      </c>
      <c r="BC149" s="306">
        <f>BB149*(1+'R&amp;C-Painel de Controle'!$D$27)</f>
        <v>0.97895859195036783</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130.79361421195762</v>
      </c>
      <c r="D151" s="307">
        <f t="shared" si="53"/>
        <v>131.55498851100384</v>
      </c>
      <c r="E151" s="307">
        <f t="shared" si="53"/>
        <v>132.31994126925551</v>
      </c>
      <c r="F151" s="307">
        <f t="shared" si="53"/>
        <v>69.571002954917319</v>
      </c>
      <c r="G151" s="307">
        <f t="shared" si="53"/>
        <v>70.343163166903039</v>
      </c>
      <c r="H151" s="307">
        <f t="shared" si="53"/>
        <v>71.118952531885114</v>
      </c>
      <c r="I151" s="307">
        <f t="shared" si="53"/>
        <v>71.898388106882535</v>
      </c>
      <c r="J151" s="307">
        <f t="shared" si="53"/>
        <v>72.681487029082447</v>
      </c>
      <c r="K151" s="307">
        <f t="shared" si="53"/>
        <v>73.46826651621673</v>
      </c>
      <c r="L151" s="307">
        <f t="shared" si="53"/>
        <v>74.258743866940577</v>
      </c>
      <c r="M151" s="307">
        <f t="shared" si="53"/>
        <v>75.052936461212781</v>
      </c>
      <c r="N151" s="307">
        <f t="shared" si="53"/>
        <v>75.850861760678086</v>
      </c>
      <c r="O151" s="307">
        <f t="shared" si="53"/>
        <v>76.652537309050857</v>
      </c>
      <c r="P151" s="307">
        <f t="shared" si="53"/>
        <v>77.457980732500985</v>
      </c>
      <c r="Q151" s="307">
        <f t="shared" si="53"/>
        <v>78.267209740041309</v>
      </c>
      <c r="R151" s="307">
        <f t="shared" si="53"/>
        <v>79.080242123917074</v>
      </c>
      <c r="S151" s="307">
        <f t="shared" si="53"/>
        <v>79.897095759997072</v>
      </c>
      <c r="T151" s="307">
        <f t="shared" si="53"/>
        <v>80.717788608166657</v>
      </c>
      <c r="U151" s="307">
        <f t="shared" si="53"/>
        <v>81.542338712722639</v>
      </c>
      <c r="V151" s="307">
        <f t="shared" si="53"/>
        <v>82.370764202770019</v>
      </c>
      <c r="W151" s="307">
        <f t="shared" si="53"/>
        <v>83.203083292620661</v>
      </c>
      <c r="X151" s="307">
        <f t="shared" si="53"/>
        <v>84.03931428219353</v>
      </c>
      <c r="Y151" s="307">
        <f t="shared" si="53"/>
        <v>84.879475557417422</v>
      </c>
      <c r="Z151" s="307">
        <f t="shared" si="53"/>
        <v>85.723585590634897</v>
      </c>
      <c r="AA151" s="307">
        <f t="shared" si="53"/>
        <v>86.571662941008483</v>
      </c>
      <c r="AB151" s="307">
        <f t="shared" si="53"/>
        <v>87.423726254928781</v>
      </c>
      <c r="AC151" s="307">
        <f t="shared" si="53"/>
        <v>88.27979426642456</v>
      </c>
      <c r="AD151" s="307">
        <f t="shared" si="53"/>
        <v>89.139885797574337</v>
      </c>
      <c r="AE151" s="307">
        <f t="shared" si="53"/>
        <v>90.004019758920563</v>
      </c>
      <c r="AF151" s="307">
        <f t="shared" si="53"/>
        <v>90.872215149885037</v>
      </c>
      <c r="AG151" s="307">
        <f t="shared" si="53"/>
        <v>91.744491059187069</v>
      </c>
      <c r="AH151" s="307">
        <f t="shared" si="53"/>
        <v>92.620866665262881</v>
      </c>
      <c r="AI151" s="307">
        <f t="shared" si="53"/>
        <v>93.501361236687202</v>
      </c>
      <c r="AJ151" s="307">
        <f t="shared" si="53"/>
        <v>94.38599413259719</v>
      </c>
      <c r="AK151" s="307">
        <f t="shared" si="53"/>
        <v>95.274784803117981</v>
      </c>
      <c r="AL151" s="307">
        <f t="shared" si="53"/>
        <v>96.167752789790214</v>
      </c>
      <c r="AM151" s="307">
        <f t="shared" si="53"/>
        <v>97.06491772599982</v>
      </c>
      <c r="AN151" s="307">
        <f t="shared" si="53"/>
        <v>97.966299337409637</v>
      </c>
      <c r="AO151" s="307">
        <f t="shared" si="53"/>
        <v>98.871917442393041</v>
      </c>
      <c r="AP151" s="307">
        <f t="shared" si="53"/>
        <v>99.781791952469874</v>
      </c>
      <c r="AQ151" s="307">
        <f t="shared" si="53"/>
        <v>100.69594287274406</v>
      </c>
      <c r="AR151" s="307">
        <f t="shared" si="53"/>
        <v>101.61439030234358</v>
      </c>
      <c r="AS151" s="307">
        <f t="shared" si="53"/>
        <v>102.53715443486216</v>
      </c>
      <c r="AT151" s="307">
        <f t="shared" si="53"/>
        <v>103.46425555880363</v>
      </c>
      <c r="AU151" s="307">
        <f t="shared" si="53"/>
        <v>104.39571405802756</v>
      </c>
      <c r="AV151" s="307">
        <f t="shared" si="53"/>
        <v>105.3315504121979</v>
      </c>
      <c r="AW151" s="307">
        <f t="shared" si="53"/>
        <v>106.2717851972328</v>
      </c>
      <c r="AX151" s="307">
        <f t="shared" si="53"/>
        <v>107.21643908575739</v>
      </c>
      <c r="AY151" s="307">
        <f t="shared" si="53"/>
        <v>108.16553284755805</v>
      </c>
      <c r="AZ151" s="307">
        <f t="shared" si="53"/>
        <v>109.11908735003918</v>
      </c>
      <c r="BA151" s="307">
        <f t="shared" si="53"/>
        <v>110.07712355868195</v>
      </c>
      <c r="BB151" s="307">
        <f t="shared" si="53"/>
        <v>111.03966253750532</v>
      </c>
      <c r="BC151" s="307">
        <f t="shared" si="53"/>
        <v>112.00672544952916</v>
      </c>
    </row>
    <row r="152" spans="2:58" s="206" customFormat="1" ht="16.899999999999999" customHeight="1" outlineLevel="1" x14ac:dyDescent="0.25">
      <c r="B152" s="206" t="s">
        <v>413</v>
      </c>
      <c r="C152" s="307">
        <f>C63</f>
        <v>286.75687403986899</v>
      </c>
      <c r="D152" s="307">
        <f>IF(SUM($C$152:C152)&lt;'R&amp;C-Painel de Controle'!$H$24,D63,0)</f>
        <v>576.21994378848581</v>
      </c>
      <c r="E152" s="307">
        <f>IF(SUM($C$152:D152)&lt;'R&amp;C-Painel de Controle'!$H$24,E63,0)</f>
        <v>383.24456395607456</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-155.96325982791137</v>
      </c>
      <c r="D153" s="307">
        <f t="shared" si="54"/>
        <v>-444.66495527748197</v>
      </c>
      <c r="E153" s="307">
        <f t="shared" si="54"/>
        <v>-250.92462268681905</v>
      </c>
      <c r="F153" s="307">
        <f t="shared" si="54"/>
        <v>69.571002954917319</v>
      </c>
      <c r="G153" s="307">
        <f t="shared" si="54"/>
        <v>70.343163166903039</v>
      </c>
      <c r="H153" s="307">
        <f t="shared" si="54"/>
        <v>71.118952531885114</v>
      </c>
      <c r="I153" s="307">
        <f t="shared" si="54"/>
        <v>71.898388106882535</v>
      </c>
      <c r="J153" s="307">
        <f t="shared" si="54"/>
        <v>72.681487029082447</v>
      </c>
      <c r="K153" s="307">
        <f t="shared" si="54"/>
        <v>73.46826651621673</v>
      </c>
      <c r="L153" s="307">
        <f t="shared" si="54"/>
        <v>74.258743866940577</v>
      </c>
      <c r="M153" s="307">
        <f t="shared" si="54"/>
        <v>75.052936461212781</v>
      </c>
      <c r="N153" s="307">
        <f t="shared" si="54"/>
        <v>75.850861760678086</v>
      </c>
      <c r="O153" s="307">
        <f t="shared" si="54"/>
        <v>76.652537309050857</v>
      </c>
      <c r="P153" s="307">
        <f t="shared" si="54"/>
        <v>77.457980732500985</v>
      </c>
      <c r="Q153" s="307">
        <f t="shared" si="54"/>
        <v>78.267209740041309</v>
      </c>
      <c r="R153" s="307">
        <f t="shared" si="54"/>
        <v>79.080242123917074</v>
      </c>
      <c r="S153" s="307">
        <f t="shared" si="54"/>
        <v>79.897095759997072</v>
      </c>
      <c r="T153" s="307">
        <f t="shared" si="54"/>
        <v>80.717788608166657</v>
      </c>
      <c r="U153" s="307">
        <f t="shared" si="54"/>
        <v>81.542338712722639</v>
      </c>
      <c r="V153" s="307">
        <f t="shared" si="54"/>
        <v>82.370764202770019</v>
      </c>
      <c r="W153" s="307">
        <f t="shared" si="54"/>
        <v>83.203083292620661</v>
      </c>
      <c r="X153" s="307">
        <f t="shared" si="54"/>
        <v>84.03931428219353</v>
      </c>
      <c r="Y153" s="307">
        <f t="shared" si="54"/>
        <v>84.879475557417422</v>
      </c>
      <c r="Z153" s="307">
        <f t="shared" si="54"/>
        <v>85.723585590634897</v>
      </c>
      <c r="AA153" s="307">
        <f t="shared" si="54"/>
        <v>86.571662941008483</v>
      </c>
      <c r="AB153" s="307">
        <f t="shared" si="54"/>
        <v>87.423726254928781</v>
      </c>
      <c r="AC153" s="307">
        <f t="shared" si="54"/>
        <v>88.27979426642456</v>
      </c>
      <c r="AD153" s="307">
        <f t="shared" si="54"/>
        <v>89.139885797574337</v>
      </c>
      <c r="AE153" s="307">
        <f t="shared" si="54"/>
        <v>90.004019758920563</v>
      </c>
      <c r="AF153" s="307">
        <f t="shared" si="54"/>
        <v>90.872215149885037</v>
      </c>
      <c r="AG153" s="307">
        <f t="shared" si="54"/>
        <v>91.744491059187069</v>
      </c>
      <c r="AH153" s="307">
        <f t="shared" si="54"/>
        <v>92.620866665262881</v>
      </c>
      <c r="AI153" s="307">
        <f t="shared" si="54"/>
        <v>93.501361236687202</v>
      </c>
      <c r="AJ153" s="307">
        <f t="shared" si="54"/>
        <v>94.38599413259719</v>
      </c>
      <c r="AK153" s="307">
        <f t="shared" si="54"/>
        <v>95.274784803117981</v>
      </c>
      <c r="AL153" s="307">
        <f t="shared" si="54"/>
        <v>96.167752789790214</v>
      </c>
      <c r="AM153" s="307">
        <f t="shared" si="54"/>
        <v>97.06491772599982</v>
      </c>
      <c r="AN153" s="307">
        <f t="shared" si="54"/>
        <v>97.966299337409637</v>
      </c>
      <c r="AO153" s="307">
        <f t="shared" si="54"/>
        <v>98.871917442393041</v>
      </c>
      <c r="AP153" s="307">
        <f t="shared" si="54"/>
        <v>99.781791952469874</v>
      </c>
      <c r="AQ153" s="307">
        <f t="shared" si="54"/>
        <v>100.69594287274406</v>
      </c>
      <c r="AR153" s="307">
        <f t="shared" si="54"/>
        <v>101.61439030234358</v>
      </c>
      <c r="AS153" s="307">
        <f t="shared" si="54"/>
        <v>102.53715443486216</v>
      </c>
      <c r="AT153" s="307">
        <f t="shared" si="54"/>
        <v>103.46425555880363</v>
      </c>
      <c r="AU153" s="307">
        <f t="shared" si="54"/>
        <v>104.39571405802756</v>
      </c>
      <c r="AV153" s="307">
        <f t="shared" si="54"/>
        <v>105.3315504121979</v>
      </c>
      <c r="AW153" s="307">
        <f t="shared" si="54"/>
        <v>106.2717851972328</v>
      </c>
      <c r="AX153" s="307">
        <f t="shared" si="54"/>
        <v>107.21643908575739</v>
      </c>
      <c r="AY153" s="307">
        <f t="shared" si="54"/>
        <v>108.16553284755805</v>
      </c>
      <c r="AZ153" s="307">
        <f t="shared" si="54"/>
        <v>109.11908735003918</v>
      </c>
      <c r="BA153" s="307">
        <f t="shared" si="54"/>
        <v>110.07712355868195</v>
      </c>
      <c r="BB153" s="307">
        <f t="shared" si="54"/>
        <v>111.03966253750532</v>
      </c>
      <c r="BC153" s="307">
        <f t="shared" si="54"/>
        <v>112.00672544952916</v>
      </c>
    </row>
    <row r="154" spans="2:58" s="206" customFormat="1" ht="16.899999999999999" customHeight="1" outlineLevel="1" x14ac:dyDescent="0.25">
      <c r="B154" s="301" t="s">
        <v>415</v>
      </c>
      <c r="C154" s="307">
        <f>IF((C153&gt;0),C153*(1-($C$26+$C$25)),C153)</f>
        <v>-155.96325982791137</v>
      </c>
      <c r="D154" s="307">
        <f t="shared" ref="D154:BC154" si="55">IF((D153&gt;0),D153*(1-($C$26+$C$25)),D153)</f>
        <v>-444.66495527748197</v>
      </c>
      <c r="E154" s="307">
        <f t="shared" si="55"/>
        <v>-250.92462268681905</v>
      </c>
      <c r="F154" s="307">
        <f t="shared" si="55"/>
        <v>45.916861950245433</v>
      </c>
      <c r="G154" s="307">
        <f t="shared" si="55"/>
        <v>46.426487690156009</v>
      </c>
      <c r="H154" s="307">
        <f t="shared" si="55"/>
        <v>46.938508671044175</v>
      </c>
      <c r="I154" s="307">
        <f t="shared" si="55"/>
        <v>47.452936150542477</v>
      </c>
      <c r="J154" s="307">
        <f t="shared" si="55"/>
        <v>47.969781439194421</v>
      </c>
      <c r="K154" s="307">
        <f t="shared" si="55"/>
        <v>48.489055900703043</v>
      </c>
      <c r="L154" s="307">
        <f t="shared" si="55"/>
        <v>49.010770952180785</v>
      </c>
      <c r="M154" s="307">
        <f t="shared" si="55"/>
        <v>49.534938064400436</v>
      </c>
      <c r="N154" s="307">
        <f t="shared" si="55"/>
        <v>50.061568762047536</v>
      </c>
      <c r="O154" s="307">
        <f t="shared" si="55"/>
        <v>50.59067462397357</v>
      </c>
      <c r="P154" s="307">
        <f t="shared" si="55"/>
        <v>51.122267283450654</v>
      </c>
      <c r="Q154" s="307">
        <f t="shared" si="55"/>
        <v>51.656358428427268</v>
      </c>
      <c r="R154" s="307">
        <f t="shared" si="55"/>
        <v>52.192959801785271</v>
      </c>
      <c r="S154" s="307">
        <f t="shared" si="55"/>
        <v>52.732083201598073</v>
      </c>
      <c r="T154" s="307">
        <f t="shared" si="55"/>
        <v>53.273740481389993</v>
      </c>
      <c r="U154" s="307">
        <f t="shared" si="55"/>
        <v>53.817943550396947</v>
      </c>
      <c r="V154" s="307">
        <f t="shared" si="55"/>
        <v>54.364704373828218</v>
      </c>
      <c r="W154" s="307">
        <f t="shared" si="55"/>
        <v>54.914034973129638</v>
      </c>
      <c r="X154" s="307">
        <f t="shared" si="55"/>
        <v>55.46594742624773</v>
      </c>
      <c r="Y154" s="307">
        <f t="shared" si="55"/>
        <v>56.020453867895498</v>
      </c>
      <c r="Z154" s="307">
        <f t="shared" si="55"/>
        <v>56.577566489819034</v>
      </c>
      <c r="AA154" s="307">
        <f t="shared" si="55"/>
        <v>57.1372975410656</v>
      </c>
      <c r="AB154" s="307">
        <f t="shared" si="55"/>
        <v>57.699659328252999</v>
      </c>
      <c r="AC154" s="307">
        <f t="shared" si="55"/>
        <v>58.264664215840213</v>
      </c>
      <c r="AD154" s="307">
        <f t="shared" si="55"/>
        <v>58.832324626399064</v>
      </c>
      <c r="AE154" s="307">
        <f t="shared" si="55"/>
        <v>59.402653040887571</v>
      </c>
      <c r="AF154" s="307">
        <f t="shared" si="55"/>
        <v>59.975661998924124</v>
      </c>
      <c r="AG154" s="307">
        <f t="shared" si="55"/>
        <v>60.55136409906347</v>
      </c>
      <c r="AH154" s="307">
        <f t="shared" si="55"/>
        <v>61.129771999073505</v>
      </c>
      <c r="AI154" s="307">
        <f t="shared" si="55"/>
        <v>61.71089841621356</v>
      </c>
      <c r="AJ154" s="307">
        <f t="shared" si="55"/>
        <v>62.294756127514148</v>
      </c>
      <c r="AK154" s="307">
        <f t="shared" si="55"/>
        <v>62.88135797005787</v>
      </c>
      <c r="AL154" s="307">
        <f t="shared" si="55"/>
        <v>63.470716841261542</v>
      </c>
      <c r="AM154" s="307">
        <f t="shared" si="55"/>
        <v>64.06284569915988</v>
      </c>
      <c r="AN154" s="307">
        <f t="shared" si="55"/>
        <v>64.657757562690364</v>
      </c>
      <c r="AO154" s="307">
        <f t="shared" si="55"/>
        <v>65.255465511979409</v>
      </c>
      <c r="AP154" s="307">
        <f t="shared" si="55"/>
        <v>65.855982688630121</v>
      </c>
      <c r="AQ154" s="307">
        <f t="shared" si="55"/>
        <v>66.459322296011081</v>
      </c>
      <c r="AR154" s="307">
        <f t="shared" si="55"/>
        <v>67.065497599546759</v>
      </c>
      <c r="AS154" s="307">
        <f t="shared" si="55"/>
        <v>67.674521927009025</v>
      </c>
      <c r="AT154" s="307">
        <f t="shared" si="55"/>
        <v>68.286408668810395</v>
      </c>
      <c r="AU154" s="307">
        <f t="shared" si="55"/>
        <v>68.901171278298193</v>
      </c>
      <c r="AV154" s="307">
        <f t="shared" si="55"/>
        <v>69.518823272050611</v>
      </c>
      <c r="AW154" s="307">
        <f t="shared" si="55"/>
        <v>70.139378230173648</v>
      </c>
      <c r="AX154" s="307">
        <f t="shared" si="55"/>
        <v>70.76284979659988</v>
      </c>
      <c r="AY154" s="307">
        <f t="shared" si="55"/>
        <v>71.389251679388323</v>
      </c>
      <c r="AZ154" s="307">
        <f t="shared" si="55"/>
        <v>72.018597651025857</v>
      </c>
      <c r="BA154" s="307">
        <f t="shared" si="55"/>
        <v>72.65090154873009</v>
      </c>
      <c r="BB154" s="307">
        <f t="shared" si="55"/>
        <v>73.286177274753513</v>
      </c>
      <c r="BC154" s="307">
        <f t="shared" si="55"/>
        <v>73.924438796689245</v>
      </c>
    </row>
    <row r="155" spans="2:58" s="206" customFormat="1" ht="16.899999999999999" customHeight="1" outlineLevel="1" x14ac:dyDescent="0.25">
      <c r="C155" s="321"/>
      <c r="D155" s="321"/>
      <c r="E155" s="321"/>
      <c r="F155" s="321"/>
      <c r="G155" s="321"/>
      <c r="H155" s="321"/>
      <c r="I155" s="321"/>
      <c r="J155" s="321"/>
      <c r="K155" s="321"/>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-155.96325982791137</v>
      </c>
      <c r="D156" s="307">
        <f t="shared" ref="D156:BC156" si="56">D154</f>
        <v>-444.66495527748197</v>
      </c>
      <c r="E156" s="307">
        <f t="shared" si="56"/>
        <v>-250.92462268681905</v>
      </c>
      <c r="F156" s="307">
        <f t="shared" si="56"/>
        <v>45.916861950245433</v>
      </c>
      <c r="G156" s="307">
        <f t="shared" si="56"/>
        <v>46.426487690156009</v>
      </c>
      <c r="H156" s="307">
        <f t="shared" si="56"/>
        <v>46.938508671044175</v>
      </c>
      <c r="I156" s="307">
        <f t="shared" si="56"/>
        <v>47.452936150542477</v>
      </c>
      <c r="J156" s="307">
        <f t="shared" si="56"/>
        <v>47.969781439194421</v>
      </c>
      <c r="K156" s="307">
        <f t="shared" si="56"/>
        <v>48.489055900703043</v>
      </c>
      <c r="L156" s="307">
        <f t="shared" si="56"/>
        <v>49.010770952180785</v>
      </c>
      <c r="M156" s="307">
        <f t="shared" si="56"/>
        <v>49.534938064400436</v>
      </c>
      <c r="N156" s="307">
        <f t="shared" si="56"/>
        <v>50.061568762047536</v>
      </c>
      <c r="O156" s="307">
        <f t="shared" si="56"/>
        <v>50.59067462397357</v>
      </c>
      <c r="P156" s="307">
        <f t="shared" si="56"/>
        <v>51.122267283450654</v>
      </c>
      <c r="Q156" s="307">
        <f t="shared" si="56"/>
        <v>51.656358428427268</v>
      </c>
      <c r="R156" s="307">
        <f t="shared" si="56"/>
        <v>52.192959801785271</v>
      </c>
      <c r="S156" s="307">
        <f t="shared" si="56"/>
        <v>52.732083201598073</v>
      </c>
      <c r="T156" s="307">
        <f t="shared" si="56"/>
        <v>53.273740481389993</v>
      </c>
      <c r="U156" s="307">
        <f t="shared" si="56"/>
        <v>53.817943550396947</v>
      </c>
      <c r="V156" s="307">
        <f t="shared" si="56"/>
        <v>54.364704373828218</v>
      </c>
      <c r="W156" s="307">
        <f t="shared" si="56"/>
        <v>54.914034973129638</v>
      </c>
      <c r="X156" s="307">
        <f t="shared" si="56"/>
        <v>55.46594742624773</v>
      </c>
      <c r="Y156" s="307">
        <f t="shared" si="56"/>
        <v>56.020453867895498</v>
      </c>
      <c r="Z156" s="307">
        <f t="shared" si="56"/>
        <v>56.577566489819034</v>
      </c>
      <c r="AA156" s="307">
        <f t="shared" si="56"/>
        <v>57.1372975410656</v>
      </c>
      <c r="AB156" s="307">
        <f t="shared" si="56"/>
        <v>57.699659328252999</v>
      </c>
      <c r="AC156" s="307">
        <f t="shared" si="56"/>
        <v>58.264664215840213</v>
      </c>
      <c r="AD156" s="307">
        <f t="shared" si="56"/>
        <v>58.832324626399064</v>
      </c>
      <c r="AE156" s="307">
        <f t="shared" si="56"/>
        <v>59.402653040887571</v>
      </c>
      <c r="AF156" s="307">
        <f t="shared" si="56"/>
        <v>59.975661998924124</v>
      </c>
      <c r="AG156" s="307">
        <f t="shared" si="56"/>
        <v>60.55136409906347</v>
      </c>
      <c r="AH156" s="307">
        <f t="shared" si="56"/>
        <v>61.129771999073505</v>
      </c>
      <c r="AI156" s="307">
        <f t="shared" si="56"/>
        <v>61.71089841621356</v>
      </c>
      <c r="AJ156" s="307">
        <f t="shared" si="56"/>
        <v>62.294756127514148</v>
      </c>
      <c r="AK156" s="307">
        <f t="shared" si="56"/>
        <v>62.88135797005787</v>
      </c>
      <c r="AL156" s="307">
        <f t="shared" si="56"/>
        <v>63.470716841261542</v>
      </c>
      <c r="AM156" s="307">
        <f t="shared" si="56"/>
        <v>64.06284569915988</v>
      </c>
      <c r="AN156" s="307">
        <f t="shared" si="56"/>
        <v>64.657757562690364</v>
      </c>
      <c r="AO156" s="307">
        <f t="shared" si="56"/>
        <v>65.255465511979409</v>
      </c>
      <c r="AP156" s="307">
        <f t="shared" si="56"/>
        <v>65.855982688630121</v>
      </c>
      <c r="AQ156" s="307">
        <f t="shared" si="56"/>
        <v>66.459322296011081</v>
      </c>
      <c r="AR156" s="307">
        <f t="shared" si="56"/>
        <v>67.065497599546759</v>
      </c>
      <c r="AS156" s="307">
        <f t="shared" si="56"/>
        <v>67.674521927009025</v>
      </c>
      <c r="AT156" s="307">
        <f t="shared" si="56"/>
        <v>68.286408668810395</v>
      </c>
      <c r="AU156" s="307">
        <f t="shared" si="56"/>
        <v>68.901171278298193</v>
      </c>
      <c r="AV156" s="307">
        <f t="shared" si="56"/>
        <v>69.518823272050611</v>
      </c>
      <c r="AW156" s="307">
        <f t="shared" si="56"/>
        <v>70.139378230173648</v>
      </c>
      <c r="AX156" s="307">
        <f t="shared" si="56"/>
        <v>70.76284979659988</v>
      </c>
      <c r="AY156" s="307">
        <f t="shared" si="56"/>
        <v>71.389251679388323</v>
      </c>
      <c r="AZ156" s="307">
        <f t="shared" si="56"/>
        <v>72.018597651025857</v>
      </c>
      <c r="BA156" s="307">
        <f t="shared" si="56"/>
        <v>72.65090154873009</v>
      </c>
      <c r="BB156" s="307">
        <f t="shared" si="56"/>
        <v>73.286177274753513</v>
      </c>
      <c r="BC156" s="307">
        <f t="shared" si="56"/>
        <v>73.924438796689245</v>
      </c>
    </row>
    <row r="157" spans="2:58" s="309" customFormat="1" ht="16.899999999999999" customHeight="1" outlineLevel="1" x14ac:dyDescent="0.25">
      <c r="B157" s="309" t="s">
        <v>465</v>
      </c>
      <c r="C157" s="310">
        <f>C156</f>
        <v>-155.96325982791137</v>
      </c>
      <c r="D157" s="310">
        <f t="shared" ref="D157:BC157" si="57">C157+D156</f>
        <v>-600.62821510539334</v>
      </c>
      <c r="E157" s="310">
        <f t="shared" si="57"/>
        <v>-851.55283779221236</v>
      </c>
      <c r="F157" s="310">
        <f t="shared" si="57"/>
        <v>-805.63597584196691</v>
      </c>
      <c r="G157" s="310">
        <f t="shared" si="57"/>
        <v>-759.20948815181089</v>
      </c>
      <c r="H157" s="310">
        <f t="shared" si="57"/>
        <v>-712.27097948076675</v>
      </c>
      <c r="I157" s="310">
        <f t="shared" si="57"/>
        <v>-664.81804333022433</v>
      </c>
      <c r="J157" s="310">
        <f t="shared" si="57"/>
        <v>-616.84826189102989</v>
      </c>
      <c r="K157" s="310">
        <f t="shared" si="57"/>
        <v>-568.35920599032681</v>
      </c>
      <c r="L157" s="310">
        <f t="shared" si="57"/>
        <v>-519.34843503814602</v>
      </c>
      <c r="M157" s="310">
        <f t="shared" si="57"/>
        <v>-469.8134969737456</v>
      </c>
      <c r="N157" s="310">
        <f t="shared" si="57"/>
        <v>-419.75192821169804</v>
      </c>
      <c r="O157" s="310">
        <f t="shared" si="57"/>
        <v>-369.16125358772445</v>
      </c>
      <c r="P157" s="310">
        <f t="shared" si="57"/>
        <v>-318.03898630427381</v>
      </c>
      <c r="Q157" s="310">
        <f t="shared" si="57"/>
        <v>-266.38262787584654</v>
      </c>
      <c r="R157" s="310">
        <f t="shared" si="57"/>
        <v>-214.18966807406127</v>
      </c>
      <c r="S157" s="310">
        <f t="shared" si="57"/>
        <v>-161.4575848724632</v>
      </c>
      <c r="T157" s="310">
        <f t="shared" si="57"/>
        <v>-108.18384439107321</v>
      </c>
      <c r="U157" s="310">
        <f t="shared" si="57"/>
        <v>-54.365900840676261</v>
      </c>
      <c r="V157" s="310">
        <f t="shared" si="57"/>
        <v>-1.1964668480430873E-3</v>
      </c>
      <c r="W157" s="310">
        <f t="shared" si="57"/>
        <v>54.912838506281595</v>
      </c>
      <c r="X157" s="310">
        <f t="shared" si="57"/>
        <v>110.37878593252933</v>
      </c>
      <c r="Y157" s="310">
        <f t="shared" si="57"/>
        <v>166.39923980042482</v>
      </c>
      <c r="Z157" s="310">
        <f t="shared" si="57"/>
        <v>222.97680629024387</v>
      </c>
      <c r="AA157" s="310">
        <f t="shared" si="57"/>
        <v>280.11410383130948</v>
      </c>
      <c r="AB157" s="310">
        <f t="shared" si="57"/>
        <v>337.81376315956248</v>
      </c>
      <c r="AC157" s="310">
        <f t="shared" si="57"/>
        <v>396.07842737540273</v>
      </c>
      <c r="AD157" s="310">
        <f t="shared" si="57"/>
        <v>454.91075200180177</v>
      </c>
      <c r="AE157" s="310">
        <f t="shared" si="57"/>
        <v>514.31340504268928</v>
      </c>
      <c r="AF157" s="310">
        <f t="shared" si="57"/>
        <v>574.28906704161341</v>
      </c>
      <c r="AG157" s="310">
        <f t="shared" si="57"/>
        <v>634.84043114067686</v>
      </c>
      <c r="AH157" s="310">
        <f t="shared" si="57"/>
        <v>695.97020313975031</v>
      </c>
      <c r="AI157" s="310">
        <f t="shared" si="57"/>
        <v>757.68110155596389</v>
      </c>
      <c r="AJ157" s="310">
        <f t="shared" si="57"/>
        <v>819.97585768347801</v>
      </c>
      <c r="AK157" s="310">
        <f t="shared" si="57"/>
        <v>882.85721565353583</v>
      </c>
      <c r="AL157" s="310">
        <f t="shared" si="57"/>
        <v>946.32793249479732</v>
      </c>
      <c r="AM157" s="310">
        <f t="shared" si="57"/>
        <v>1010.3907781939572</v>
      </c>
      <c r="AN157" s="310">
        <f t="shared" si="57"/>
        <v>1075.0485357566477</v>
      </c>
      <c r="AO157" s="310">
        <f t="shared" si="57"/>
        <v>1140.304001268627</v>
      </c>
      <c r="AP157" s="310">
        <f t="shared" si="57"/>
        <v>1206.1599839572571</v>
      </c>
      <c r="AQ157" s="310">
        <f t="shared" si="57"/>
        <v>1272.6193062532682</v>
      </c>
      <c r="AR157" s="310">
        <f t="shared" si="57"/>
        <v>1339.6848038528149</v>
      </c>
      <c r="AS157" s="310">
        <f t="shared" si="57"/>
        <v>1407.3593257798238</v>
      </c>
      <c r="AT157" s="310">
        <f t="shared" si="57"/>
        <v>1475.6457344486344</v>
      </c>
      <c r="AU157" s="310">
        <f t="shared" si="57"/>
        <v>1544.5469057269324</v>
      </c>
      <c r="AV157" s="310">
        <f t="shared" si="57"/>
        <v>1614.0657289989831</v>
      </c>
      <c r="AW157" s="310">
        <f t="shared" si="57"/>
        <v>1684.2051072291567</v>
      </c>
      <c r="AX157" s="310">
        <f t="shared" si="57"/>
        <v>1754.9679570257567</v>
      </c>
      <c r="AY157" s="310">
        <f t="shared" si="57"/>
        <v>1826.357208705145</v>
      </c>
      <c r="AZ157" s="310">
        <f t="shared" si="57"/>
        <v>1898.3758063561709</v>
      </c>
      <c r="BA157" s="310">
        <f t="shared" si="57"/>
        <v>1971.0267079049011</v>
      </c>
      <c r="BB157" s="310">
        <f t="shared" si="57"/>
        <v>2044.3128851796546</v>
      </c>
      <c r="BC157" s="310">
        <f t="shared" si="57"/>
        <v>2118.2373239763438</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-142.2875742080528</v>
      </c>
      <c r="D159" s="312">
        <f t="shared" ref="D159:BC159" si="58">NPV($C$28,D156)</f>
        <v>-405.67437415438189</v>
      </c>
      <c r="E159" s="312">
        <f t="shared" si="58"/>
        <v>-228.92222123706139</v>
      </c>
      <c r="F159" s="312">
        <f t="shared" si="58"/>
        <v>41.890628019415367</v>
      </c>
      <c r="G159" s="312">
        <f t="shared" si="58"/>
        <v>42.355567072150421</v>
      </c>
      <c r="H159" s="312">
        <f t="shared" si="58"/>
        <v>42.822691338433337</v>
      </c>
      <c r="I159" s="312">
        <f t="shared" si="58"/>
        <v>43.292011088767751</v>
      </c>
      <c r="J159" s="312">
        <f t="shared" si="58"/>
        <v>43.763536641928731</v>
      </c>
      <c r="K159" s="312">
        <f t="shared" si="58"/>
        <v>44.237278365189582</v>
      </c>
      <c r="L159" s="312">
        <f t="shared" si="58"/>
        <v>44.713246674549787</v>
      </c>
      <c r="M159" s="312">
        <f t="shared" si="58"/>
        <v>45.191452034963952</v>
      </c>
      <c r="N159" s="312">
        <f t="shared" si="58"/>
        <v>45.671904960572078</v>
      </c>
      <c r="O159" s="312">
        <f t="shared" si="58"/>
        <v>46.154616014930554</v>
      </c>
      <c r="P159" s="312">
        <f t="shared" si="58"/>
        <v>46.639595811244511</v>
      </c>
      <c r="Q159" s="312">
        <f t="shared" si="58"/>
        <v>47.126855012601141</v>
      </c>
      <c r="R159" s="312">
        <f t="shared" si="58"/>
        <v>47.616404332204141</v>
      </c>
      <c r="S159" s="312">
        <f t="shared" si="58"/>
        <v>48.108254533609291</v>
      </c>
      <c r="T159" s="312">
        <f t="shared" si="58"/>
        <v>48.602416430961043</v>
      </c>
      <c r="U159" s="312">
        <f t="shared" si="58"/>
        <v>49.098900889230357</v>
      </c>
      <c r="V159" s="312">
        <f t="shared" si="58"/>
        <v>49.597718824453523</v>
      </c>
      <c r="W159" s="312">
        <f t="shared" si="58"/>
        <v>50.098881203972255</v>
      </c>
      <c r="X159" s="312">
        <f t="shared" si="58"/>
        <v>50.602399046674691</v>
      </c>
      <c r="Y159" s="312">
        <f t="shared" si="58"/>
        <v>51.108283423237843</v>
      </c>
      <c r="Z159" s="312">
        <f t="shared" si="58"/>
        <v>51.616545456370865</v>
      </c>
      <c r="AA159" s="312">
        <f t="shared" si="58"/>
        <v>52.127196321059607</v>
      </c>
      <c r="AB159" s="312">
        <f t="shared" si="58"/>
        <v>52.640247244812358</v>
      </c>
      <c r="AC159" s="312">
        <f t="shared" si="58"/>
        <v>53.155709507906778</v>
      </c>
      <c r="AD159" s="312">
        <f t="shared" si="58"/>
        <v>53.673594443637718</v>
      </c>
      <c r="AE159" s="312">
        <f t="shared" si="58"/>
        <v>54.193913438566625</v>
      </c>
      <c r="AF159" s="312">
        <f t="shared" si="58"/>
        <v>54.716677932771645</v>
      </c>
      <c r="AG159" s="312">
        <f t="shared" si="58"/>
        <v>55.241899420099458</v>
      </c>
      <c r="AH159" s="312">
        <f t="shared" si="58"/>
        <v>55.76958944841774</v>
      </c>
      <c r="AI159" s="312">
        <f t="shared" si="58"/>
        <v>56.299759619869086</v>
      </c>
      <c r="AJ159" s="312">
        <f t="shared" si="58"/>
        <v>56.832421591126241</v>
      </c>
      <c r="AK159" s="312">
        <f t="shared" si="58"/>
        <v>57.367587073648316</v>
      </c>
      <c r="AL159" s="312">
        <f t="shared" si="58"/>
        <v>57.90526783393824</v>
      </c>
      <c r="AM159" s="312">
        <f t="shared" si="58"/>
        <v>58.445475693801541</v>
      </c>
      <c r="AN159" s="312">
        <f t="shared" si="58"/>
        <v>58.988222530606215</v>
      </c>
      <c r="AO159" s="312">
        <f t="shared" si="58"/>
        <v>59.533520277543843</v>
      </c>
      <c r="AP159" s="312">
        <f t="shared" si="58"/>
        <v>60.081380923892084</v>
      </c>
      <c r="AQ159" s="312">
        <f t="shared" si="58"/>
        <v>60.63181651527816</v>
      </c>
      <c r="AR159" s="312">
        <f t="shared" si="58"/>
        <v>61.18483915394377</v>
      </c>
      <c r="AS159" s="312">
        <f t="shared" si="58"/>
        <v>61.740460999011077</v>
      </c>
      <c r="AT159" s="312">
        <f t="shared" si="58"/>
        <v>62.298694266750239</v>
      </c>
      <c r="AU159" s="312">
        <f t="shared" si="58"/>
        <v>62.859551230847735</v>
      </c>
      <c r="AV159" s="312">
        <f t="shared" si="58"/>
        <v>63.423044222676509</v>
      </c>
      <c r="AW159" s="312">
        <f t="shared" si="58"/>
        <v>63.989185631566869</v>
      </c>
      <c r="AX159" s="312">
        <f t="shared" si="58"/>
        <v>64.557987905079031</v>
      </c>
      <c r="AY159" s="312">
        <f t="shared" si="58"/>
        <v>65.129463549276693</v>
      </c>
      <c r="AZ159" s="312">
        <f t="shared" si="58"/>
        <v>65.703625129002091</v>
      </c>
      <c r="BA159" s="312">
        <f t="shared" si="58"/>
        <v>66.280485268152191</v>
      </c>
      <c r="BB159" s="312">
        <f t="shared" si="58"/>
        <v>66.860056649956277</v>
      </c>
      <c r="BC159" s="312">
        <f t="shared" si="58"/>
        <v>67.442352017254834</v>
      </c>
    </row>
    <row r="160" spans="2:58" s="309" customFormat="1" ht="16.899999999999999" customHeight="1" outlineLevel="1" x14ac:dyDescent="0.25">
      <c r="B160" s="313" t="s">
        <v>467</v>
      </c>
      <c r="C160" s="312">
        <f>C159</f>
        <v>-142.2875742080528</v>
      </c>
      <c r="D160" s="312">
        <f t="shared" ref="D160:BC160" si="59">C160+D159</f>
        <v>-547.96194836243467</v>
      </c>
      <c r="E160" s="312">
        <f t="shared" si="59"/>
        <v>-776.88416959949609</v>
      </c>
      <c r="F160" s="312">
        <f t="shared" si="59"/>
        <v>-734.99354158008077</v>
      </c>
      <c r="G160" s="312">
        <f t="shared" si="59"/>
        <v>-692.63797450793038</v>
      </c>
      <c r="H160" s="312">
        <f t="shared" si="59"/>
        <v>-649.81528316949709</v>
      </c>
      <c r="I160" s="312">
        <f t="shared" si="59"/>
        <v>-606.52327208072938</v>
      </c>
      <c r="J160" s="312">
        <f t="shared" si="59"/>
        <v>-562.7597354388007</v>
      </c>
      <c r="K160" s="312">
        <f t="shared" si="59"/>
        <v>-518.52245707361112</v>
      </c>
      <c r="L160" s="312">
        <f t="shared" si="59"/>
        <v>-473.80921039906133</v>
      </c>
      <c r="M160" s="312">
        <f t="shared" si="59"/>
        <v>-428.61775836409737</v>
      </c>
      <c r="N160" s="312">
        <f t="shared" si="59"/>
        <v>-382.94585340352529</v>
      </c>
      <c r="O160" s="312">
        <f t="shared" si="59"/>
        <v>-336.79123738859471</v>
      </c>
      <c r="P160" s="312">
        <f t="shared" si="59"/>
        <v>-290.15164157735018</v>
      </c>
      <c r="Q160" s="312">
        <f t="shared" si="59"/>
        <v>-243.02478656474904</v>
      </c>
      <c r="R160" s="312">
        <f t="shared" si="59"/>
        <v>-195.40838223254491</v>
      </c>
      <c r="S160" s="312">
        <f t="shared" si="59"/>
        <v>-147.30012769893563</v>
      </c>
      <c r="T160" s="312">
        <f t="shared" si="59"/>
        <v>-98.697711267974583</v>
      </c>
      <c r="U160" s="312">
        <f t="shared" si="59"/>
        <v>-49.598810378744226</v>
      </c>
      <c r="V160" s="312">
        <f t="shared" si="59"/>
        <v>-1.0915542907028453E-3</v>
      </c>
      <c r="W160" s="312">
        <f t="shared" si="59"/>
        <v>50.097789649681552</v>
      </c>
      <c r="X160" s="312">
        <f t="shared" si="59"/>
        <v>100.70018869635624</v>
      </c>
      <c r="Y160" s="312">
        <f t="shared" si="59"/>
        <v>151.80847211959409</v>
      </c>
      <c r="Z160" s="312">
        <f t="shared" si="59"/>
        <v>203.42501757596494</v>
      </c>
      <c r="AA160" s="312">
        <f t="shared" si="59"/>
        <v>255.55221389702456</v>
      </c>
      <c r="AB160" s="312">
        <f t="shared" si="59"/>
        <v>308.19246114183693</v>
      </c>
      <c r="AC160" s="312">
        <f t="shared" si="59"/>
        <v>361.34817064974368</v>
      </c>
      <c r="AD160" s="312">
        <f t="shared" si="59"/>
        <v>415.02176509338142</v>
      </c>
      <c r="AE160" s="312">
        <f t="shared" si="59"/>
        <v>469.21567853194802</v>
      </c>
      <c r="AF160" s="312">
        <f t="shared" si="59"/>
        <v>523.93235646471965</v>
      </c>
      <c r="AG160" s="312">
        <f t="shared" si="59"/>
        <v>579.1742558848191</v>
      </c>
      <c r="AH160" s="312">
        <f t="shared" si="59"/>
        <v>634.94384533323682</v>
      </c>
      <c r="AI160" s="312">
        <f t="shared" si="59"/>
        <v>691.24360495310589</v>
      </c>
      <c r="AJ160" s="312">
        <f t="shared" si="59"/>
        <v>748.07602654423215</v>
      </c>
      <c r="AK160" s="312">
        <f t="shared" si="59"/>
        <v>805.44361361788049</v>
      </c>
      <c r="AL160" s="312">
        <f t="shared" si="59"/>
        <v>863.34888145181867</v>
      </c>
      <c r="AM160" s="312">
        <f t="shared" si="59"/>
        <v>921.79435714562021</v>
      </c>
      <c r="AN160" s="312">
        <f t="shared" si="59"/>
        <v>980.78257967622642</v>
      </c>
      <c r="AO160" s="312">
        <f t="shared" si="59"/>
        <v>1040.3160999537702</v>
      </c>
      <c r="AP160" s="312">
        <f t="shared" si="59"/>
        <v>1100.3974808776622</v>
      </c>
      <c r="AQ160" s="312">
        <f t="shared" si="59"/>
        <v>1161.0292973929404</v>
      </c>
      <c r="AR160" s="312">
        <f t="shared" si="59"/>
        <v>1222.2141365468842</v>
      </c>
      <c r="AS160" s="312">
        <f t="shared" si="59"/>
        <v>1283.9545975458952</v>
      </c>
      <c r="AT160" s="312">
        <f t="shared" si="59"/>
        <v>1346.2532918126456</v>
      </c>
      <c r="AU160" s="312">
        <f t="shared" si="59"/>
        <v>1409.1128430434933</v>
      </c>
      <c r="AV160" s="312">
        <f t="shared" si="59"/>
        <v>1472.5358872661698</v>
      </c>
      <c r="AW160" s="312">
        <f t="shared" si="59"/>
        <v>1536.5250728977367</v>
      </c>
      <c r="AX160" s="312">
        <f t="shared" si="59"/>
        <v>1601.0830608028157</v>
      </c>
      <c r="AY160" s="312">
        <f t="shared" si="59"/>
        <v>1666.2125243520923</v>
      </c>
      <c r="AZ160" s="312">
        <f t="shared" si="59"/>
        <v>1731.9161494810944</v>
      </c>
      <c r="BA160" s="312">
        <f t="shared" si="59"/>
        <v>1798.1966347492466</v>
      </c>
      <c r="BB160" s="312">
        <f t="shared" si="59"/>
        <v>1865.0566913992029</v>
      </c>
      <c r="BC160" s="312">
        <f t="shared" si="59"/>
        <v>1932.4990434164577</v>
      </c>
    </row>
    <row r="161" spans="1:58" s="309" customFormat="1" ht="16.899999999999999" customHeight="1" outlineLevel="1" x14ac:dyDescent="0.25">
      <c r="B161" s="309" t="s">
        <v>416</v>
      </c>
      <c r="C161" s="310">
        <f t="shared" ref="C161:AH161" si="60">C156/(1+$C$28)^C32</f>
        <v>-155.96325982791137</v>
      </c>
      <c r="D161" s="310">
        <f t="shared" si="60"/>
        <v>-405.67437415438189</v>
      </c>
      <c r="E161" s="310">
        <f t="shared" si="60"/>
        <v>-208.84910701457005</v>
      </c>
      <c r="F161" s="310">
        <f t="shared" si="60"/>
        <v>34.866328224208978</v>
      </c>
      <c r="G161" s="310">
        <f t="shared" si="60"/>
        <v>32.162108666317536</v>
      </c>
      <c r="H161" s="310">
        <f t="shared" si="60"/>
        <v>29.665566376732293</v>
      </c>
      <c r="I161" s="310">
        <f t="shared" si="60"/>
        <v>27.360946585171956</v>
      </c>
      <c r="J161" s="310">
        <f t="shared" si="60"/>
        <v>25.233671202963883</v>
      </c>
      <c r="K161" s="310">
        <f t="shared" si="60"/>
        <v>23.270252723501414</v>
      </c>
      <c r="L161" s="310">
        <f t="shared" si="60"/>
        <v>21.458214248092769</v>
      </c>
      <c r="M161" s="310">
        <f t="shared" si="60"/>
        <v>19.786015218875381</v>
      </c>
      <c r="N161" s="310">
        <f t="shared" si="60"/>
        <v>18.242982467244694</v>
      </c>
      <c r="O161" s="310">
        <f t="shared" si="60"/>
        <v>16.819246211499497</v>
      </c>
      <c r="P161" s="310">
        <f t="shared" si="60"/>
        <v>15.505680661202637</v>
      </c>
      <c r="Q161" s="310">
        <f t="shared" si="60"/>
        <v>14.293848908159518</v>
      </c>
      <c r="R161" s="310">
        <f t="shared" si="60"/>
        <v>13.17595180499216</v>
      </c>
      <c r="S161" s="310">
        <f t="shared" si="60"/>
        <v>12.144780552097563</v>
      </c>
      <c r="T161" s="310">
        <f t="shared" si="60"/>
        <v>11.193672732386844</v>
      </c>
      <c r="U161" s="310">
        <f t="shared" si="60"/>
        <v>10.316471550668226</v>
      </c>
      <c r="V161" s="310">
        <f t="shared" si="60"/>
        <v>9.5074880509205695</v>
      </c>
      <c r="W161" s="310">
        <f t="shared" si="60"/>
        <v>8.7614661000632328</v>
      </c>
      <c r="X161" s="310">
        <f t="shared" si="60"/>
        <v>8.0735499412172427</v>
      </c>
      <c r="Y161" s="310">
        <f t="shared" si="60"/>
        <v>7.439254132926477</v>
      </c>
      <c r="Z161" s="310">
        <f t="shared" si="60"/>
        <v>6.8544357034164012</v>
      </c>
      <c r="AA161" s="310">
        <f t="shared" si="60"/>
        <v>6.3152683607620803</v>
      </c>
      <c r="AB161" s="310">
        <f t="shared" si="60"/>
        <v>5.8182186108632123</v>
      </c>
      <c r="AC161" s="310">
        <f t="shared" si="60"/>
        <v>5.3600236454274013</v>
      </c>
      <c r="AD161" s="310">
        <f t="shared" si="60"/>
        <v>4.9376708717865609</v>
      </c>
      <c r="AE161" s="310">
        <f t="shared" si="60"/>
        <v>4.548378965356398</v>
      </c>
      <c r="AF161" s="310">
        <f t="shared" si="60"/>
        <v>4.1895803339338631</v>
      </c>
      <c r="AG161" s="310">
        <f t="shared" si="60"/>
        <v>3.8589048908497725</v>
      </c>
      <c r="AH161" s="310">
        <f t="shared" si="60"/>
        <v>3.5541650412878418</v>
      </c>
      <c r="AI161" s="310">
        <f t="shared" ref="AI161:BC161" si="61">AI156/(1+$C$28)^AI32</f>
        <v>3.2733417928808954</v>
      </c>
      <c r="AJ161" s="310">
        <f t="shared" si="61"/>
        <v>3.0145719080308049</v>
      </c>
      <c r="AK161" s="310">
        <f t="shared" si="61"/>
        <v>2.776136021300649</v>
      </c>
      <c r="AL161" s="310">
        <f t="shared" si="61"/>
        <v>2.5564476507234981</v>
      </c>
      <c r="AM161" s="310">
        <f t="shared" si="61"/>
        <v>2.354043036988434</v>
      </c>
      <c r="AN161" s="310">
        <f t="shared" si="61"/>
        <v>2.1675717492256021</v>
      </c>
      <c r="AO161" s="310">
        <f t="shared" si="61"/>
        <v>1.9957880005417279</v>
      </c>
      <c r="AP161" s="310">
        <f t="shared" si="61"/>
        <v>1.8375426205773953</v>
      </c>
      <c r="AQ161" s="310">
        <f t="shared" si="61"/>
        <v>1.6917756361881353</v>
      </c>
      <c r="AR161" s="310">
        <f t="shared" si="61"/>
        <v>1.5575094149123565</v>
      </c>
      <c r="AS161" s="310">
        <f t="shared" si="61"/>
        <v>1.4338423291984757</v>
      </c>
      <c r="AT161" s="310">
        <f t="shared" si="61"/>
        <v>1.3199429024383031</v>
      </c>
      <c r="AU161" s="310">
        <f t="shared" si="61"/>
        <v>1.2150444007097292</v>
      </c>
      <c r="AV161" s="310">
        <f t="shared" si="61"/>
        <v>1.1184398367840345</v>
      </c>
      <c r="AW161" s="310">
        <f t="shared" si="61"/>
        <v>1.0294773554155683</v>
      </c>
      <c r="AX161" s="310">
        <f t="shared" si="61"/>
        <v>0.94755597121731794</v>
      </c>
      <c r="AY161" s="310">
        <f t="shared" si="61"/>
        <v>0.87212163254712671</v>
      </c>
      <c r="AZ161" s="310">
        <f t="shared" si="61"/>
        <v>0.80266358679753413</v>
      </c>
      <c r="BA161" s="310">
        <f t="shared" si="61"/>
        <v>0.73871102430801561</v>
      </c>
      <c r="BB161" s="310">
        <f t="shared" si="61"/>
        <v>0.67982997981178495</v>
      </c>
      <c r="BC161" s="310">
        <f t="shared" si="61"/>
        <v>0.62562047189960834</v>
      </c>
    </row>
    <row r="162" spans="1:58" s="309" customFormat="1" ht="16.899999999999999" customHeight="1" outlineLevel="1" x14ac:dyDescent="0.25">
      <c r="B162" s="314" t="s">
        <v>417</v>
      </c>
      <c r="C162" s="310">
        <f>C161</f>
        <v>-155.96325982791137</v>
      </c>
      <c r="D162" s="310">
        <f t="shared" ref="D162:BC162" si="62">C162+D161</f>
        <v>-561.63763398229321</v>
      </c>
      <c r="E162" s="310">
        <f t="shared" si="62"/>
        <v>-770.48674099686332</v>
      </c>
      <c r="F162" s="310">
        <f t="shared" si="62"/>
        <v>-735.62041277265439</v>
      </c>
      <c r="G162" s="310">
        <f t="shared" si="62"/>
        <v>-703.45830410633687</v>
      </c>
      <c r="H162" s="310">
        <f t="shared" si="62"/>
        <v>-673.7927377296046</v>
      </c>
      <c r="I162" s="310">
        <f t="shared" si="62"/>
        <v>-646.43179114443262</v>
      </c>
      <c r="J162" s="310">
        <f t="shared" si="62"/>
        <v>-621.19811994146869</v>
      </c>
      <c r="K162" s="310">
        <f t="shared" si="62"/>
        <v>-597.92786721796733</v>
      </c>
      <c r="L162" s="310">
        <f t="shared" si="62"/>
        <v>-576.46965296987457</v>
      </c>
      <c r="M162" s="310">
        <f t="shared" si="62"/>
        <v>-556.6836377509992</v>
      </c>
      <c r="N162" s="310">
        <f t="shared" si="62"/>
        <v>-538.4406552837545</v>
      </c>
      <c r="O162" s="310">
        <f t="shared" si="62"/>
        <v>-521.62140907225501</v>
      </c>
      <c r="P162" s="310">
        <f t="shared" si="62"/>
        <v>-506.11572841105237</v>
      </c>
      <c r="Q162" s="310">
        <f t="shared" si="62"/>
        <v>-491.82187950289284</v>
      </c>
      <c r="R162" s="310">
        <f t="shared" si="62"/>
        <v>-478.64592769790067</v>
      </c>
      <c r="S162" s="310">
        <f t="shared" si="62"/>
        <v>-466.50114714580309</v>
      </c>
      <c r="T162" s="310">
        <f t="shared" si="62"/>
        <v>-455.30747441341623</v>
      </c>
      <c r="U162" s="310">
        <f t="shared" si="62"/>
        <v>-444.99100286274802</v>
      </c>
      <c r="V162" s="310">
        <f t="shared" si="62"/>
        <v>-435.48351481182743</v>
      </c>
      <c r="W162" s="310">
        <f t="shared" si="62"/>
        <v>-426.72204871176422</v>
      </c>
      <c r="X162" s="310">
        <f t="shared" si="62"/>
        <v>-418.64849877054695</v>
      </c>
      <c r="Y162" s="310">
        <f t="shared" si="62"/>
        <v>-411.20924463762049</v>
      </c>
      <c r="Z162" s="310">
        <f t="shared" si="62"/>
        <v>-404.35480893420407</v>
      </c>
      <c r="AA162" s="310">
        <f t="shared" si="62"/>
        <v>-398.03954057344197</v>
      </c>
      <c r="AB162" s="310">
        <f t="shared" si="62"/>
        <v>-392.22132196257877</v>
      </c>
      <c r="AC162" s="310">
        <f t="shared" si="62"/>
        <v>-386.86129831715135</v>
      </c>
      <c r="AD162" s="310">
        <f t="shared" si="62"/>
        <v>-381.92362744536479</v>
      </c>
      <c r="AE162" s="310">
        <f t="shared" si="62"/>
        <v>-377.37524848000839</v>
      </c>
      <c r="AF162" s="310">
        <f t="shared" si="62"/>
        <v>-373.18566814607453</v>
      </c>
      <c r="AG162" s="310">
        <f t="shared" si="62"/>
        <v>-369.32676325522476</v>
      </c>
      <c r="AH162" s="310">
        <f t="shared" si="62"/>
        <v>-365.77259821393693</v>
      </c>
      <c r="AI162" s="310">
        <f t="shared" si="62"/>
        <v>-362.49925642105603</v>
      </c>
      <c r="AJ162" s="310">
        <f t="shared" si="62"/>
        <v>-359.48468451302523</v>
      </c>
      <c r="AK162" s="310">
        <f t="shared" si="62"/>
        <v>-356.70854849172457</v>
      </c>
      <c r="AL162" s="310">
        <f t="shared" si="62"/>
        <v>-354.15210084100107</v>
      </c>
      <c r="AM162" s="310">
        <f t="shared" si="62"/>
        <v>-351.79805780401261</v>
      </c>
      <c r="AN162" s="310">
        <f t="shared" si="62"/>
        <v>-349.63048605478701</v>
      </c>
      <c r="AO162" s="310">
        <f t="shared" si="62"/>
        <v>-347.63469805424529</v>
      </c>
      <c r="AP162" s="310">
        <f t="shared" si="62"/>
        <v>-345.79715543366791</v>
      </c>
      <c r="AQ162" s="310">
        <f t="shared" si="62"/>
        <v>-344.10537979747977</v>
      </c>
      <c r="AR162" s="310">
        <f t="shared" si="62"/>
        <v>-342.5478703825674</v>
      </c>
      <c r="AS162" s="310">
        <f t="shared" si="62"/>
        <v>-341.11402805336894</v>
      </c>
      <c r="AT162" s="310">
        <f t="shared" si="62"/>
        <v>-339.79408515093064</v>
      </c>
      <c r="AU162" s="310">
        <f t="shared" si="62"/>
        <v>-338.57904075022088</v>
      </c>
      <c r="AV162" s="310">
        <f t="shared" si="62"/>
        <v>-337.46060091343685</v>
      </c>
      <c r="AW162" s="310">
        <f t="shared" si="62"/>
        <v>-336.43112355802128</v>
      </c>
      <c r="AX162" s="310">
        <f t="shared" si="62"/>
        <v>-335.48356758680399</v>
      </c>
      <c r="AY162" s="310">
        <f t="shared" si="62"/>
        <v>-334.61144595425685</v>
      </c>
      <c r="AZ162" s="310">
        <f t="shared" si="62"/>
        <v>-333.80878236745934</v>
      </c>
      <c r="BA162" s="310">
        <f t="shared" si="62"/>
        <v>-333.07007134315131</v>
      </c>
      <c r="BB162" s="310">
        <f t="shared" si="62"/>
        <v>-332.39024136333956</v>
      </c>
      <c r="BC162" s="310">
        <f t="shared" si="62"/>
        <v>-331.76462089143996</v>
      </c>
    </row>
    <row r="163" spans="1:58" s="309" customFormat="1" ht="16.899999999999999" customHeight="1" outlineLevel="1" x14ac:dyDescent="0.25">
      <c r="B163" s="314" t="s">
        <v>418</v>
      </c>
      <c r="C163" s="310">
        <f t="shared" ref="C163:AH163" si="63">C63/(1+$C$28)^C32</f>
        <v>286.75687403986899</v>
      </c>
      <c r="D163" s="310">
        <f t="shared" si="63"/>
        <v>525.6939236999159</v>
      </c>
      <c r="E163" s="310">
        <f t="shared" si="63"/>
        <v>318.98139008188667</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2.1787997342204157E-5</v>
      </c>
      <c r="X164" s="315">
        <f t="shared" si="65"/>
        <v>0</v>
      </c>
      <c r="Y164" s="315">
        <f t="shared" si="65"/>
        <v>0</v>
      </c>
      <c r="Z164" s="315">
        <f t="shared" si="65"/>
        <v>0</v>
      </c>
      <c r="AA164" s="315">
        <f t="shared" si="65"/>
        <v>0</v>
      </c>
      <c r="AB164" s="315">
        <f t="shared" si="65"/>
        <v>0</v>
      </c>
      <c r="AC164" s="315">
        <f t="shared" si="65"/>
        <v>0</v>
      </c>
      <c r="AD164" s="315">
        <f t="shared" si="65"/>
        <v>0</v>
      </c>
      <c r="AE164" s="315">
        <f t="shared" si="65"/>
        <v>0</v>
      </c>
      <c r="AF164" s="315">
        <f t="shared" si="65"/>
        <v>0</v>
      </c>
      <c r="AG164" s="315">
        <f t="shared" si="65"/>
        <v>0</v>
      </c>
      <c r="AH164" s="315">
        <f t="shared" si="65"/>
        <v>0</v>
      </c>
      <c r="AI164" s="315">
        <f t="shared" si="65"/>
        <v>0</v>
      </c>
      <c r="AJ164" s="315">
        <f t="shared" si="65"/>
        <v>0</v>
      </c>
      <c r="AK164" s="315">
        <f t="shared" si="65"/>
        <v>0</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4.4252548186969332E-2</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200.72981182790829</v>
      </c>
      <c r="D167" s="310">
        <f t="shared" ref="D167:BC167" si="66">D63*(1-$D$14)</f>
        <v>403.35396065194004</v>
      </c>
      <c r="E167" s="310">
        <f t="shared" si="66"/>
        <v>268.27119476925219</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200.72981182790829</v>
      </c>
      <c r="D168" s="310">
        <f t="shared" ref="D168:BC168" si="67">C173+D167</f>
        <v>604.08377247984834</v>
      </c>
      <c r="E168" s="310">
        <f t="shared" si="67"/>
        <v>872.35496724910058</v>
      </c>
      <c r="F168" s="310">
        <f t="shared" si="67"/>
        <v>872.35496724910058</v>
      </c>
      <c r="G168" s="310">
        <f t="shared" si="67"/>
        <v>828.73721888664556</v>
      </c>
      <c r="H168" s="310">
        <f t="shared" si="67"/>
        <v>785.11947052419055</v>
      </c>
      <c r="I168" s="310">
        <f t="shared" si="67"/>
        <v>741.50172216173553</v>
      </c>
      <c r="J168" s="310">
        <f t="shared" si="67"/>
        <v>697.88397379928051</v>
      </c>
      <c r="K168" s="310">
        <f t="shared" si="67"/>
        <v>654.26622543682549</v>
      </c>
      <c r="L168" s="310">
        <f t="shared" si="67"/>
        <v>610.64847707437048</v>
      </c>
      <c r="M168" s="310">
        <f t="shared" si="67"/>
        <v>567.03072871191546</v>
      </c>
      <c r="N168" s="310">
        <f t="shared" si="67"/>
        <v>523.41298034946044</v>
      </c>
      <c r="O168" s="310">
        <f t="shared" si="67"/>
        <v>479.79523198700542</v>
      </c>
      <c r="P168" s="310">
        <f t="shared" si="67"/>
        <v>436.1774836245504</v>
      </c>
      <c r="Q168" s="310">
        <f t="shared" si="67"/>
        <v>392.55973526209539</v>
      </c>
      <c r="R168" s="310">
        <f t="shared" si="67"/>
        <v>348.94198689964037</v>
      </c>
      <c r="S168" s="310">
        <f t="shared" si="67"/>
        <v>305.32423853718535</v>
      </c>
      <c r="T168" s="310">
        <f t="shared" si="67"/>
        <v>261.70649017473033</v>
      </c>
      <c r="U168" s="310">
        <f t="shared" si="67"/>
        <v>218.08874181227532</v>
      </c>
      <c r="V168" s="310">
        <f t="shared" si="67"/>
        <v>174.4709934498203</v>
      </c>
      <c r="W168" s="310">
        <f t="shared" si="67"/>
        <v>130.85324508736528</v>
      </c>
      <c r="X168" s="310">
        <f t="shared" si="67"/>
        <v>87.235496724910249</v>
      </c>
      <c r="Y168" s="310">
        <f t="shared" si="67"/>
        <v>43.617748362455217</v>
      </c>
      <c r="Z168" s="310">
        <f t="shared" si="67"/>
        <v>1.8474111129762605E-13</v>
      </c>
      <c r="AA168" s="310">
        <f t="shared" si="67"/>
        <v>1.8474111129762605E-13</v>
      </c>
      <c r="AB168" s="310">
        <f t="shared" si="67"/>
        <v>1.8474111129762605E-13</v>
      </c>
      <c r="AC168" s="310">
        <f t="shared" si="67"/>
        <v>1.8474111129762605E-13</v>
      </c>
      <c r="AD168" s="310">
        <f t="shared" si="67"/>
        <v>1.8474111129762605E-13</v>
      </c>
      <c r="AE168" s="310">
        <f t="shared" si="67"/>
        <v>1.8474111129762605E-13</v>
      </c>
      <c r="AF168" s="310">
        <f t="shared" si="67"/>
        <v>1.8474111129762605E-13</v>
      </c>
      <c r="AG168" s="310">
        <f t="shared" si="67"/>
        <v>1.8474111129762605E-13</v>
      </c>
      <c r="AH168" s="310">
        <f t="shared" si="67"/>
        <v>1.8474111129762605E-13</v>
      </c>
      <c r="AI168" s="310">
        <f t="shared" si="67"/>
        <v>1.8474111129762605E-13</v>
      </c>
      <c r="AJ168" s="310">
        <f t="shared" si="67"/>
        <v>1.8474111129762605E-13</v>
      </c>
      <c r="AK168" s="310">
        <f t="shared" si="67"/>
        <v>1.8474111129762605E-13</v>
      </c>
      <c r="AL168" s="310">
        <f t="shared" si="67"/>
        <v>1.8474111129762605E-13</v>
      </c>
      <c r="AM168" s="310">
        <f t="shared" si="67"/>
        <v>1.8474111129762605E-13</v>
      </c>
      <c r="AN168" s="310">
        <f t="shared" si="67"/>
        <v>1.8474111129762605E-13</v>
      </c>
      <c r="AO168" s="310">
        <f t="shared" si="67"/>
        <v>1.8474111129762605E-13</v>
      </c>
      <c r="AP168" s="310">
        <f t="shared" si="67"/>
        <v>1.8474111129762605E-13</v>
      </c>
      <c r="AQ168" s="310">
        <f t="shared" si="67"/>
        <v>1.8474111129762605E-13</v>
      </c>
      <c r="AR168" s="310">
        <f t="shared" si="67"/>
        <v>1.8474111129762605E-13</v>
      </c>
      <c r="AS168" s="310">
        <f t="shared" si="67"/>
        <v>1.8474111129762605E-13</v>
      </c>
      <c r="AT168" s="310">
        <f t="shared" si="67"/>
        <v>1.8474111129762605E-13</v>
      </c>
      <c r="AU168" s="310">
        <f t="shared" si="67"/>
        <v>1.8474111129762605E-13</v>
      </c>
      <c r="AV168" s="310">
        <f t="shared" si="67"/>
        <v>1.8474111129762605E-13</v>
      </c>
      <c r="AW168" s="310">
        <f t="shared" si="67"/>
        <v>1.8474111129762605E-13</v>
      </c>
      <c r="AX168" s="310">
        <f t="shared" si="67"/>
        <v>1.8474111129762605E-13</v>
      </c>
      <c r="AY168" s="310">
        <f t="shared" si="67"/>
        <v>1.8474111129762605E-13</v>
      </c>
      <c r="AZ168" s="310">
        <f t="shared" si="67"/>
        <v>1.8474111129762605E-13</v>
      </c>
      <c r="BA168" s="310">
        <f t="shared" si="67"/>
        <v>1.8474111129762605E-13</v>
      </c>
      <c r="BB168" s="310">
        <f t="shared" si="67"/>
        <v>1.8474111129762605E-13</v>
      </c>
      <c r="BC168" s="310">
        <f t="shared" si="67"/>
        <v>1.8474111129762605E-13</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-43.617748362455032</v>
      </c>
      <c r="G171" s="310">
        <f t="shared" si="70"/>
        <v>-43.617748362455032</v>
      </c>
      <c r="H171" s="310">
        <f t="shared" si="70"/>
        <v>-43.617748362455032</v>
      </c>
      <c r="I171" s="310">
        <f t="shared" si="70"/>
        <v>-43.617748362455032</v>
      </c>
      <c r="J171" s="310">
        <f t="shared" si="70"/>
        <v>-43.617748362455032</v>
      </c>
      <c r="K171" s="310">
        <f t="shared" si="70"/>
        <v>-43.617748362455032</v>
      </c>
      <c r="L171" s="310">
        <f t="shared" si="70"/>
        <v>-43.617748362455032</v>
      </c>
      <c r="M171" s="310">
        <f t="shared" si="70"/>
        <v>-43.617748362455032</v>
      </c>
      <c r="N171" s="310">
        <f t="shared" si="70"/>
        <v>-43.617748362455032</v>
      </c>
      <c r="O171" s="310">
        <f t="shared" si="70"/>
        <v>-43.617748362455032</v>
      </c>
      <c r="P171" s="310">
        <f t="shared" si="70"/>
        <v>-43.617748362455032</v>
      </c>
      <c r="Q171" s="310">
        <f t="shared" si="70"/>
        <v>-43.617748362455032</v>
      </c>
      <c r="R171" s="310">
        <f t="shared" si="70"/>
        <v>-43.617748362455032</v>
      </c>
      <c r="S171" s="310">
        <f t="shared" si="70"/>
        <v>-43.617748362455032</v>
      </c>
      <c r="T171" s="310">
        <f t="shared" si="70"/>
        <v>-43.617748362455032</v>
      </c>
      <c r="U171" s="310">
        <f t="shared" si="70"/>
        <v>-43.617748362455032</v>
      </c>
      <c r="V171" s="310">
        <f t="shared" si="70"/>
        <v>-43.617748362455032</v>
      </c>
      <c r="W171" s="310">
        <f t="shared" si="70"/>
        <v>-43.617748362455032</v>
      </c>
      <c r="X171" s="310">
        <f t="shared" si="70"/>
        <v>-43.617748362455032</v>
      </c>
      <c r="Y171" s="310">
        <f t="shared" si="70"/>
        <v>-43.617748362455032</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-8.7317468145140094</v>
      </c>
      <c r="E172" s="310">
        <f t="shared" si="72"/>
        <v>-26.277644102873399</v>
      </c>
      <c r="F172" s="310">
        <f t="shared" si="72"/>
        <v>-37.947441075335874</v>
      </c>
      <c r="G172" s="310">
        <f t="shared" si="72"/>
        <v>-36.05006902156908</v>
      </c>
      <c r="H172" s="310">
        <f t="shared" si="72"/>
        <v>-34.152696967802285</v>
      </c>
      <c r="I172" s="310">
        <f t="shared" si="72"/>
        <v>-32.255324914035491</v>
      </c>
      <c r="J172" s="310">
        <f t="shared" si="72"/>
        <v>-30.3579528602687</v>
      </c>
      <c r="K172" s="310">
        <f t="shared" si="72"/>
        <v>-28.460580806501905</v>
      </c>
      <c r="L172" s="310">
        <f t="shared" si="72"/>
        <v>-26.563208752735115</v>
      </c>
      <c r="M172" s="310">
        <f t="shared" si="72"/>
        <v>-24.66583669896832</v>
      </c>
      <c r="N172" s="310">
        <f t="shared" si="72"/>
        <v>-22.768464645201529</v>
      </c>
      <c r="O172" s="310">
        <f t="shared" si="72"/>
        <v>-20.871092591434735</v>
      </c>
      <c r="P172" s="310">
        <f t="shared" si="72"/>
        <v>-18.973720537667941</v>
      </c>
      <c r="Q172" s="310">
        <f t="shared" si="72"/>
        <v>-17.07634848390115</v>
      </c>
      <c r="R172" s="310">
        <f t="shared" si="72"/>
        <v>-15.178976430134355</v>
      </c>
      <c r="S172" s="310">
        <f t="shared" si="72"/>
        <v>-13.281604376367563</v>
      </c>
      <c r="T172" s="310">
        <f t="shared" si="72"/>
        <v>-11.384232322600768</v>
      </c>
      <c r="U172" s="310">
        <f t="shared" si="72"/>
        <v>-9.4868602688339756</v>
      </c>
      <c r="V172" s="310">
        <f t="shared" si="72"/>
        <v>-7.5894882150671821</v>
      </c>
      <c r="W172" s="310">
        <f t="shared" si="72"/>
        <v>-5.6921161613003894</v>
      </c>
      <c r="X172" s="310">
        <f t="shared" si="72"/>
        <v>-3.7947441075335955</v>
      </c>
      <c r="Y172" s="310">
        <f t="shared" si="72"/>
        <v>-1.8973720537668017</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200.72981182790829</v>
      </c>
      <c r="D173" s="310">
        <f t="shared" ref="D173:BC173" si="74">D168+D171</f>
        <v>604.08377247984834</v>
      </c>
      <c r="E173" s="310">
        <f t="shared" si="74"/>
        <v>872.35496724910058</v>
      </c>
      <c r="F173" s="310">
        <f t="shared" si="74"/>
        <v>828.73721888664556</v>
      </c>
      <c r="G173" s="310">
        <f t="shared" si="74"/>
        <v>785.11947052419055</v>
      </c>
      <c r="H173" s="310">
        <f t="shared" si="74"/>
        <v>741.50172216173553</v>
      </c>
      <c r="I173" s="310">
        <f t="shared" si="74"/>
        <v>697.88397379928051</v>
      </c>
      <c r="J173" s="310">
        <f t="shared" si="74"/>
        <v>654.26622543682549</v>
      </c>
      <c r="K173" s="310">
        <f t="shared" si="74"/>
        <v>610.64847707437048</v>
      </c>
      <c r="L173" s="310">
        <f t="shared" si="74"/>
        <v>567.03072871191546</v>
      </c>
      <c r="M173" s="310">
        <f t="shared" si="74"/>
        <v>523.41298034946044</v>
      </c>
      <c r="N173" s="310">
        <f t="shared" si="74"/>
        <v>479.79523198700542</v>
      </c>
      <c r="O173" s="310">
        <f t="shared" si="74"/>
        <v>436.1774836245504</v>
      </c>
      <c r="P173" s="310">
        <f t="shared" si="74"/>
        <v>392.55973526209539</v>
      </c>
      <c r="Q173" s="310">
        <f t="shared" si="74"/>
        <v>348.94198689964037</v>
      </c>
      <c r="R173" s="310">
        <f t="shared" si="74"/>
        <v>305.32423853718535</v>
      </c>
      <c r="S173" s="310">
        <f t="shared" si="74"/>
        <v>261.70649017473033</v>
      </c>
      <c r="T173" s="310">
        <f t="shared" si="74"/>
        <v>218.08874181227532</v>
      </c>
      <c r="U173" s="310">
        <f t="shared" si="74"/>
        <v>174.4709934498203</v>
      </c>
      <c r="V173" s="310">
        <f t="shared" si="74"/>
        <v>130.85324508736528</v>
      </c>
      <c r="W173" s="310">
        <f t="shared" si="74"/>
        <v>87.235496724910249</v>
      </c>
      <c r="X173" s="310">
        <f t="shared" si="74"/>
        <v>43.617748362455217</v>
      </c>
      <c r="Y173" s="310">
        <f t="shared" si="74"/>
        <v>1.8474111129762605E-13</v>
      </c>
      <c r="Z173" s="310">
        <f t="shared" si="74"/>
        <v>1.8474111129762605E-13</v>
      </c>
      <c r="AA173" s="310">
        <f t="shared" si="74"/>
        <v>1.8474111129762605E-13</v>
      </c>
      <c r="AB173" s="310">
        <f t="shared" si="74"/>
        <v>1.8474111129762605E-13</v>
      </c>
      <c r="AC173" s="310">
        <f t="shared" si="74"/>
        <v>1.8474111129762605E-13</v>
      </c>
      <c r="AD173" s="310">
        <f t="shared" si="74"/>
        <v>1.8474111129762605E-13</v>
      </c>
      <c r="AE173" s="310">
        <f t="shared" si="74"/>
        <v>1.8474111129762605E-13</v>
      </c>
      <c r="AF173" s="310">
        <f t="shared" si="74"/>
        <v>1.8474111129762605E-13</v>
      </c>
      <c r="AG173" s="310">
        <f t="shared" si="74"/>
        <v>1.8474111129762605E-13</v>
      </c>
      <c r="AH173" s="310">
        <f t="shared" si="74"/>
        <v>1.8474111129762605E-13</v>
      </c>
      <c r="AI173" s="310">
        <f t="shared" si="74"/>
        <v>1.8474111129762605E-13</v>
      </c>
      <c r="AJ173" s="310">
        <f t="shared" si="74"/>
        <v>1.8474111129762605E-13</v>
      </c>
      <c r="AK173" s="310">
        <f t="shared" si="74"/>
        <v>1.8474111129762605E-13</v>
      </c>
      <c r="AL173" s="310">
        <f t="shared" si="74"/>
        <v>1.8474111129762605E-13</v>
      </c>
      <c r="AM173" s="310">
        <f t="shared" si="74"/>
        <v>1.8474111129762605E-13</v>
      </c>
      <c r="AN173" s="310">
        <f t="shared" si="74"/>
        <v>1.8474111129762605E-13</v>
      </c>
      <c r="AO173" s="310">
        <f t="shared" si="74"/>
        <v>1.8474111129762605E-13</v>
      </c>
      <c r="AP173" s="310">
        <f t="shared" si="74"/>
        <v>1.8474111129762605E-13</v>
      </c>
      <c r="AQ173" s="310">
        <f t="shared" si="74"/>
        <v>1.8474111129762605E-13</v>
      </c>
      <c r="AR173" s="310">
        <f t="shared" si="74"/>
        <v>1.8474111129762605E-13</v>
      </c>
      <c r="AS173" s="310">
        <f t="shared" si="74"/>
        <v>1.8474111129762605E-13</v>
      </c>
      <c r="AT173" s="310">
        <f t="shared" si="74"/>
        <v>1.8474111129762605E-13</v>
      </c>
      <c r="AU173" s="310">
        <f t="shared" si="74"/>
        <v>1.8474111129762605E-13</v>
      </c>
      <c r="AV173" s="310">
        <f t="shared" si="74"/>
        <v>1.8474111129762605E-13</v>
      </c>
      <c r="AW173" s="310">
        <f t="shared" si="74"/>
        <v>1.8474111129762605E-13</v>
      </c>
      <c r="AX173" s="310">
        <f t="shared" si="74"/>
        <v>1.8474111129762605E-13</v>
      </c>
      <c r="AY173" s="310">
        <f t="shared" si="74"/>
        <v>1.8474111129762605E-13</v>
      </c>
      <c r="AZ173" s="310">
        <f t="shared" si="74"/>
        <v>1.8474111129762605E-13</v>
      </c>
      <c r="BA173" s="310">
        <f t="shared" si="74"/>
        <v>1.8474111129762605E-13</v>
      </c>
      <c r="BB173" s="310">
        <f t="shared" si="74"/>
        <v>1.8474111129762605E-13</v>
      </c>
      <c r="BC173" s="310">
        <f t="shared" si="74"/>
        <v>1.8474111129762605E-13</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304.46313456917756</v>
      </c>
      <c r="D175" s="310">
        <f t="shared" ref="D175:BC175" si="75">D156+D167+D171+D172-D148+D35*$H$29*(1-0.0925-$C$10)/1000000+D149</f>
        <v>210.87441506719983</v>
      </c>
      <c r="E175" s="310">
        <f t="shared" si="75"/>
        <v>253.21239512239964</v>
      </c>
      <c r="F175" s="310">
        <f t="shared" si="75"/>
        <v>227.72721395086577</v>
      </c>
      <c r="G175" s="310">
        <f t="shared" si="75"/>
        <v>231.37207678930366</v>
      </c>
      <c r="H175" s="310">
        <f t="shared" si="75"/>
        <v>235.02515283442946</v>
      </c>
      <c r="I175" s="310">
        <f t="shared" si="75"/>
        <v>238.68648068831465</v>
      </c>
      <c r="J175" s="310">
        <f t="shared" si="75"/>
        <v>242.35609913446044</v>
      </c>
      <c r="K175" s="310">
        <f t="shared" si="75"/>
        <v>246.03404713865035</v>
      </c>
      <c r="L175" s="310">
        <f t="shared" si="75"/>
        <v>249.72036384980728</v>
      </c>
      <c r="M175" s="310">
        <f t="shared" si="75"/>
        <v>253.41508860085403</v>
      </c>
      <c r="N175" s="310">
        <f t="shared" si="75"/>
        <v>257.11826090957788</v>
      </c>
      <c r="O175" s="310">
        <f t="shared" si="75"/>
        <v>260.8299204795</v>
      </c>
      <c r="P175" s="310">
        <f t="shared" si="75"/>
        <v>264.55010720074813</v>
      </c>
      <c r="Q175" s="310">
        <f t="shared" si="75"/>
        <v>268.27886115093338</v>
      </c>
      <c r="R175" s="310">
        <f t="shared" si="75"/>
        <v>272.01622259603187</v>
      </c>
      <c r="S175" s="310">
        <f t="shared" si="75"/>
        <v>275.76223199126957</v>
      </c>
      <c r="T175" s="310">
        <f t="shared" si="75"/>
        <v>279.51692998201219</v>
      </c>
      <c r="U175" s="310">
        <f t="shared" si="75"/>
        <v>283.28035740465856</v>
      </c>
      <c r="V175" s="310">
        <f t="shared" si="75"/>
        <v>287.05255528753872</v>
      </c>
      <c r="W175" s="310">
        <f t="shared" si="75"/>
        <v>290.83356485181577</v>
      </c>
      <c r="X175" s="310">
        <f t="shared" si="75"/>
        <v>294.62342751239203</v>
      </c>
      <c r="Y175" s="310">
        <f t="shared" si="75"/>
        <v>298.42218487882042</v>
      </c>
      <c r="Z175" s="310">
        <f t="shared" si="75"/>
        <v>345.84762711867336</v>
      </c>
      <c r="AA175" s="310">
        <f t="shared" si="75"/>
        <v>347.76692745487554</v>
      </c>
      <c r="AB175" s="310">
        <f t="shared" si="75"/>
        <v>349.69524850265782</v>
      </c>
      <c r="AC175" s="310">
        <f t="shared" si="75"/>
        <v>351.63263265936473</v>
      </c>
      <c r="AD175" s="310">
        <f t="shared" si="75"/>
        <v>353.57912252160816</v>
      </c>
      <c r="AE175" s="310">
        <f t="shared" si="75"/>
        <v>355.53476088620408</v>
      </c>
      <c r="AF175" s="310">
        <f t="shared" si="75"/>
        <v>357.4995907511136</v>
      </c>
      <c r="AG175" s="310">
        <f t="shared" si="75"/>
        <v>359.47365531638832</v>
      </c>
      <c r="AH175" s="310">
        <f t="shared" si="75"/>
        <v>361.45699798511964</v>
      </c>
      <c r="AI175" s="310">
        <f t="shared" si="75"/>
        <v>363.4496623643941</v>
      </c>
      <c r="AJ175" s="310">
        <f t="shared" si="75"/>
        <v>365.45169226625114</v>
      </c>
      <c r="AK175" s="310">
        <f t="shared" si="75"/>
        <v>367.46313170864687</v>
      </c>
      <c r="AL175" s="310">
        <f t="shared" si="75"/>
        <v>369.48402491642196</v>
      </c>
      <c r="AM175" s="310">
        <f t="shared" si="75"/>
        <v>371.51441632227352</v>
      </c>
      <c r="AN175" s="310">
        <f t="shared" si="75"/>
        <v>373.55435056773251</v>
      </c>
      <c r="AO175" s="310">
        <f t="shared" si="75"/>
        <v>375.60387250414522</v>
      </c>
      <c r="AP175" s="310">
        <f t="shared" si="75"/>
        <v>377.66302719365916</v>
      </c>
      <c r="AQ175" s="310">
        <f t="shared" si="75"/>
        <v>379.73185991021381</v>
      </c>
      <c r="AR175" s="310">
        <f t="shared" si="75"/>
        <v>381.81041614053612</v>
      </c>
      <c r="AS175" s="310">
        <f t="shared" si="75"/>
        <v>383.89874158514101</v>
      </c>
      <c r="AT175" s="310">
        <f t="shared" si="75"/>
        <v>385.99688215933566</v>
      </c>
      <c r="AU175" s="310">
        <f t="shared" si="75"/>
        <v>388.10488399422889</v>
      </c>
      <c r="AV175" s="310">
        <f t="shared" si="75"/>
        <v>390.22279343774602</v>
      </c>
      <c r="AW175" s="310">
        <f t="shared" si="75"/>
        <v>392.35065705564779</v>
      </c>
      <c r="AX175" s="310">
        <f t="shared" si="75"/>
        <v>394.48852163255378</v>
      </c>
      <c r="AY175" s="310">
        <f t="shared" si="75"/>
        <v>396.63643417297124</v>
      </c>
      <c r="AZ175" s="310">
        <f t="shared" si="75"/>
        <v>398.79444190232857</v>
      </c>
      <c r="BA175" s="310">
        <f t="shared" si="75"/>
        <v>400.96259226801379</v>
      </c>
      <c r="BB175" s="310">
        <f t="shared" si="75"/>
        <v>403.14093294041794</v>
      </c>
      <c r="BC175" s="310">
        <f t="shared" si="75"/>
        <v>405.32951181398238</v>
      </c>
    </row>
    <row r="176" spans="1:58" s="309" customFormat="1" ht="16.899999999999999" customHeight="1" outlineLevel="1" x14ac:dyDescent="0.25">
      <c r="B176" s="309" t="s">
        <v>471</v>
      </c>
      <c r="C176" s="310">
        <f>C175</f>
        <v>304.46313456917756</v>
      </c>
      <c r="D176" s="310">
        <f t="shared" ref="D176:BC176" si="76">C176+D175</f>
        <v>515.33754963637739</v>
      </c>
      <c r="E176" s="310">
        <f t="shared" si="76"/>
        <v>768.54994475877697</v>
      </c>
      <c r="F176" s="310">
        <f t="shared" si="76"/>
        <v>996.27715870964278</v>
      </c>
      <c r="G176" s="310">
        <f t="shared" si="76"/>
        <v>1227.6492354989464</v>
      </c>
      <c r="H176" s="310">
        <f t="shared" si="76"/>
        <v>1462.6743883333759</v>
      </c>
      <c r="I176" s="310">
        <f t="shared" si="76"/>
        <v>1701.3608690216906</v>
      </c>
      <c r="J176" s="310">
        <f t="shared" si="76"/>
        <v>1943.7169681561511</v>
      </c>
      <c r="K176" s="310">
        <f t="shared" si="76"/>
        <v>2189.7510152948016</v>
      </c>
      <c r="L176" s="310">
        <f t="shared" si="76"/>
        <v>2439.4713791446088</v>
      </c>
      <c r="M176" s="310">
        <f t="shared" si="76"/>
        <v>2692.8864677454631</v>
      </c>
      <c r="N176" s="310">
        <f t="shared" si="76"/>
        <v>2950.0047286550407</v>
      </c>
      <c r="O176" s="310">
        <f t="shared" si="76"/>
        <v>3210.8346491345405</v>
      </c>
      <c r="P176" s="310">
        <f t="shared" si="76"/>
        <v>3475.3847563352888</v>
      </c>
      <c r="Q176" s="310">
        <f t="shared" si="76"/>
        <v>3743.6636174862224</v>
      </c>
      <c r="R176" s="310">
        <f t="shared" si="76"/>
        <v>4015.6798400822545</v>
      </c>
      <c r="S176" s="310">
        <f t="shared" si="76"/>
        <v>4291.4420720735243</v>
      </c>
      <c r="T176" s="310">
        <f t="shared" si="76"/>
        <v>4570.9590020555361</v>
      </c>
      <c r="U176" s="310">
        <f t="shared" si="76"/>
        <v>4854.2393594601945</v>
      </c>
      <c r="V176" s="310">
        <f t="shared" si="76"/>
        <v>5141.2919147477332</v>
      </c>
      <c r="W176" s="310">
        <f t="shared" si="76"/>
        <v>5432.1254795995492</v>
      </c>
      <c r="X176" s="310">
        <f t="shared" si="76"/>
        <v>5726.7489071119417</v>
      </c>
      <c r="Y176" s="310">
        <f t="shared" si="76"/>
        <v>6025.1710919907619</v>
      </c>
      <c r="Z176" s="310">
        <f t="shared" si="76"/>
        <v>6371.0187191094356</v>
      </c>
      <c r="AA176" s="310">
        <f t="shared" si="76"/>
        <v>6718.7856465643108</v>
      </c>
      <c r="AB176" s="310">
        <f t="shared" si="76"/>
        <v>7068.4808950669685</v>
      </c>
      <c r="AC176" s="310">
        <f t="shared" si="76"/>
        <v>7420.1135277263329</v>
      </c>
      <c r="AD176" s="310">
        <f t="shared" si="76"/>
        <v>7773.6926502479409</v>
      </c>
      <c r="AE176" s="310">
        <f t="shared" si="76"/>
        <v>8129.2274111341449</v>
      </c>
      <c r="AF176" s="310">
        <f t="shared" si="76"/>
        <v>8486.7270018852578</v>
      </c>
      <c r="AG176" s="310">
        <f t="shared" si="76"/>
        <v>8846.2006572016453</v>
      </c>
      <c r="AH176" s="310">
        <f t="shared" si="76"/>
        <v>9207.6576551867656</v>
      </c>
      <c r="AI176" s="310">
        <f t="shared" si="76"/>
        <v>9571.1073175511592</v>
      </c>
      <c r="AJ176" s="310">
        <f t="shared" si="76"/>
        <v>9936.5590098174107</v>
      </c>
      <c r="AK176" s="310">
        <f t="shared" si="76"/>
        <v>10304.022141526057</v>
      </c>
      <c r="AL176" s="310">
        <f t="shared" si="76"/>
        <v>10673.506166442479</v>
      </c>
      <c r="AM176" s="310">
        <f t="shared" si="76"/>
        <v>11045.020582764753</v>
      </c>
      <c r="AN176" s="310">
        <f t="shared" si="76"/>
        <v>11418.574933332486</v>
      </c>
      <c r="AO176" s="310">
        <f t="shared" si="76"/>
        <v>11794.178805836631</v>
      </c>
      <c r="AP176" s="310">
        <f t="shared" si="76"/>
        <v>12171.84183303029</v>
      </c>
      <c r="AQ176" s="310">
        <f t="shared" si="76"/>
        <v>12551.573692940505</v>
      </c>
      <c r="AR176" s="310">
        <f t="shared" si="76"/>
        <v>12933.38410908104</v>
      </c>
      <c r="AS176" s="310">
        <f t="shared" si="76"/>
        <v>13317.282850666181</v>
      </c>
      <c r="AT176" s="310">
        <f t="shared" si="76"/>
        <v>13703.279732825516</v>
      </c>
      <c r="AU176" s="310">
        <f t="shared" si="76"/>
        <v>14091.384616819745</v>
      </c>
      <c r="AV176" s="310">
        <f t="shared" si="76"/>
        <v>14481.607410257491</v>
      </c>
      <c r="AW176" s="310">
        <f t="shared" si="76"/>
        <v>14873.958067313139</v>
      </c>
      <c r="AX176" s="310">
        <f t="shared" si="76"/>
        <v>15268.446588945691</v>
      </c>
      <c r="AY176" s="310">
        <f t="shared" si="76"/>
        <v>15665.083023118663</v>
      </c>
      <c r="AZ176" s="310">
        <f t="shared" si="76"/>
        <v>16063.877465020991</v>
      </c>
      <c r="BA176" s="310">
        <f t="shared" si="76"/>
        <v>16464.840057289006</v>
      </c>
      <c r="BB176" s="310">
        <f t="shared" si="76"/>
        <v>16867.980990229426</v>
      </c>
      <c r="BC176" s="310">
        <f t="shared" si="76"/>
        <v>17273.310502043409</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287.88199528665228</v>
      </c>
      <c r="D178" s="312">
        <f t="shared" ref="D178:BC178" si="77">NPV($D$28,D175)</f>
        <v>199.39014110970422</v>
      </c>
      <c r="E178" s="312">
        <f t="shared" si="77"/>
        <v>239.42238406727674</v>
      </c>
      <c r="F178" s="312">
        <f t="shared" si="77"/>
        <v>215.32513230546778</v>
      </c>
      <c r="G178" s="312">
        <f t="shared" si="77"/>
        <v>218.77149499223589</v>
      </c>
      <c r="H178" s="312">
        <f t="shared" si="77"/>
        <v>222.22562359237921</v>
      </c>
      <c r="I178" s="312">
        <f t="shared" si="77"/>
        <v>225.68755460569071</v>
      </c>
      <c r="J178" s="312">
        <f t="shared" si="77"/>
        <v>229.15732470351227</v>
      </c>
      <c r="K178" s="312">
        <f t="shared" si="77"/>
        <v>232.63497072954101</v>
      </c>
      <c r="L178" s="312">
        <f t="shared" si="77"/>
        <v>236.12052970063957</v>
      </c>
      <c r="M178" s="312">
        <f t="shared" si="77"/>
        <v>239.61403880764985</v>
      </c>
      <c r="N178" s="312">
        <f t="shared" si="77"/>
        <v>243.11553541621043</v>
      </c>
      <c r="O178" s="312">
        <f t="shared" si="77"/>
        <v>246.62505706757869</v>
      </c>
      <c r="P178" s="312">
        <f t="shared" si="77"/>
        <v>250.14264147945593</v>
      </c>
      <c r="Q178" s="312">
        <f t="shared" si="77"/>
        <v>253.66832654681642</v>
      </c>
      <c r="R178" s="312">
        <f t="shared" si="77"/>
        <v>257.20215034274105</v>
      </c>
      <c r="S178" s="312">
        <f t="shared" si="77"/>
        <v>260.74415111925396</v>
      </c>
      <c r="T178" s="312">
        <f t="shared" si="77"/>
        <v>264.29436730816388</v>
      </c>
      <c r="U178" s="312">
        <f t="shared" si="77"/>
        <v>267.85283752190918</v>
      </c>
      <c r="V178" s="312">
        <f t="shared" si="77"/>
        <v>271.4196005544066</v>
      </c>
      <c r="W178" s="312">
        <f t="shared" si="77"/>
        <v>274.99469538190425</v>
      </c>
      <c r="X178" s="312">
        <f t="shared" si="77"/>
        <v>278.57816116383844</v>
      </c>
      <c r="Y178" s="312">
        <f t="shared" si="77"/>
        <v>282.17003724369533</v>
      </c>
      <c r="Z178" s="312">
        <f t="shared" si="77"/>
        <v>327.01267790914062</v>
      </c>
      <c r="AA178" s="312">
        <f t="shared" si="77"/>
        <v>328.82745266379874</v>
      </c>
      <c r="AB178" s="312">
        <f t="shared" si="77"/>
        <v>330.65075685980372</v>
      </c>
      <c r="AC178" s="312">
        <f t="shared" si="77"/>
        <v>332.48263058552999</v>
      </c>
      <c r="AD178" s="312">
        <f t="shared" si="77"/>
        <v>334.32311411776715</v>
      </c>
      <c r="AE178" s="312">
        <f t="shared" si="77"/>
        <v>336.17224792260578</v>
      </c>
      <c r="AF178" s="312">
        <f t="shared" si="77"/>
        <v>338.03007265632715</v>
      </c>
      <c r="AG178" s="312">
        <f t="shared" si="77"/>
        <v>339.89662916629715</v>
      </c>
      <c r="AH178" s="312">
        <f t="shared" si="77"/>
        <v>341.77195849186381</v>
      </c>
      <c r="AI178" s="312">
        <f t="shared" si="77"/>
        <v>343.65610186526072</v>
      </c>
      <c r="AJ178" s="312">
        <f t="shared" si="77"/>
        <v>345.5491007125126</v>
      </c>
      <c r="AK178" s="312">
        <f t="shared" si="77"/>
        <v>347.45099665434651</v>
      </c>
      <c r="AL178" s="312">
        <f t="shared" si="77"/>
        <v>349.36183150710713</v>
      </c>
      <c r="AM178" s="312">
        <f t="shared" si="77"/>
        <v>351.28164728367568</v>
      </c>
      <c r="AN178" s="312">
        <f t="shared" si="77"/>
        <v>353.21048619439404</v>
      </c>
      <c r="AO178" s="312">
        <f t="shared" si="77"/>
        <v>355.14839064799281</v>
      </c>
      <c r="AP178" s="312">
        <f t="shared" si="77"/>
        <v>357.09540325252362</v>
      </c>
      <c r="AQ178" s="312">
        <f t="shared" si="77"/>
        <v>359.05156681629569</v>
      </c>
      <c r="AR178" s="312">
        <f t="shared" si="77"/>
        <v>361.01692434881733</v>
      </c>
      <c r="AS178" s="312">
        <f t="shared" si="77"/>
        <v>362.99151906174188</v>
      </c>
      <c r="AT178" s="312">
        <f t="shared" si="77"/>
        <v>364.97539436981731</v>
      </c>
      <c r="AU178" s="312">
        <f t="shared" si="77"/>
        <v>366.96859389184056</v>
      </c>
      <c r="AV178" s="312">
        <f t="shared" si="77"/>
        <v>368.97116145161726</v>
      </c>
      <c r="AW178" s="312">
        <f t="shared" si="77"/>
        <v>370.98314107892497</v>
      </c>
      <c r="AX178" s="312">
        <f t="shared" si="77"/>
        <v>373.00457701048111</v>
      </c>
      <c r="AY178" s="312">
        <f t="shared" si="77"/>
        <v>375.03551369091559</v>
      </c>
      <c r="AZ178" s="312">
        <f t="shared" si="77"/>
        <v>377.07599577374805</v>
      </c>
      <c r="BA178" s="312">
        <f t="shared" si="77"/>
        <v>379.1260681223697</v>
      </c>
      <c r="BB178" s="312">
        <f t="shared" si="77"/>
        <v>381.18577581103006</v>
      </c>
      <c r="BC178" s="312">
        <f t="shared" si="77"/>
        <v>383.25516412582715</v>
      </c>
    </row>
    <row r="179" spans="2:55" s="309" customFormat="1" ht="16.899999999999999" customHeight="1" outlineLevel="1" x14ac:dyDescent="0.25">
      <c r="B179" s="313" t="s">
        <v>469</v>
      </c>
      <c r="C179" s="312">
        <f>C178</f>
        <v>287.88199528665228</v>
      </c>
      <c r="D179" s="312">
        <f t="shared" ref="D179" si="78">C179+D178</f>
        <v>487.27213639635647</v>
      </c>
      <c r="E179" s="312">
        <f t="shared" ref="E179" si="79">D179+E178</f>
        <v>726.69452046363324</v>
      </c>
      <c r="F179" s="312">
        <f t="shared" ref="F179" si="80">E179+F178</f>
        <v>942.01965276910096</v>
      </c>
      <c r="G179" s="312">
        <f t="shared" ref="G179" si="81">F179+G178</f>
        <v>1160.7911477613368</v>
      </c>
      <c r="H179" s="312">
        <f t="shared" ref="H179" si="82">G179+H178</f>
        <v>1383.016771353716</v>
      </c>
      <c r="I179" s="312">
        <f t="shared" ref="I179" si="83">H179+I178</f>
        <v>1608.7043259594066</v>
      </c>
      <c r="J179" s="312">
        <f t="shared" ref="J179" si="84">I179+J178</f>
        <v>1837.8616506629189</v>
      </c>
      <c r="K179" s="312">
        <f t="shared" ref="K179" si="85">J179+K178</f>
        <v>2070.4966213924599</v>
      </c>
      <c r="L179" s="312">
        <f t="shared" ref="L179" si="86">K179+L178</f>
        <v>2306.6171510930994</v>
      </c>
      <c r="M179" s="312">
        <f t="shared" ref="M179" si="87">L179+M178</f>
        <v>2546.2311899007491</v>
      </c>
      <c r="N179" s="312">
        <f t="shared" ref="N179" si="88">M179+N178</f>
        <v>2789.3467253169597</v>
      </c>
      <c r="O179" s="312">
        <f t="shared" ref="O179" si="89">N179+O178</f>
        <v>3035.9717823845385</v>
      </c>
      <c r="P179" s="312">
        <f t="shared" ref="P179" si="90">O179+P178</f>
        <v>3286.1144238639945</v>
      </c>
      <c r="Q179" s="312">
        <f t="shared" ref="Q179" si="91">P179+Q178</f>
        <v>3539.7827504108109</v>
      </c>
      <c r="R179" s="312">
        <f t="shared" ref="R179" si="92">Q179+R178</f>
        <v>3796.9849007535518</v>
      </c>
      <c r="S179" s="312">
        <f t="shared" ref="S179" si="93">R179+S178</f>
        <v>4057.7290518728059</v>
      </c>
      <c r="T179" s="312">
        <f t="shared" ref="T179" si="94">S179+T178</f>
        <v>4322.0234191809695</v>
      </c>
      <c r="U179" s="312">
        <f t="shared" ref="U179" si="95">T179+U178</f>
        <v>4589.8762567028789</v>
      </c>
      <c r="V179" s="312">
        <f t="shared" ref="V179" si="96">U179+V178</f>
        <v>4861.2958572572852</v>
      </c>
      <c r="W179" s="312">
        <f t="shared" ref="W179" si="97">V179+W178</f>
        <v>5136.2905526391896</v>
      </c>
      <c r="X179" s="312">
        <f t="shared" ref="X179" si="98">W179+X178</f>
        <v>5414.8687138030282</v>
      </c>
      <c r="Y179" s="312">
        <f t="shared" ref="Y179" si="99">X179+Y178</f>
        <v>5697.0387510467235</v>
      </c>
      <c r="Z179" s="312">
        <f t="shared" ref="Z179" si="100">Y179+Z178</f>
        <v>6024.0514289558641</v>
      </c>
      <c r="AA179" s="312">
        <f t="shared" ref="AA179" si="101">Z179+AA178</f>
        <v>6352.8788816196629</v>
      </c>
      <c r="AB179" s="312">
        <f t="shared" ref="AB179" si="102">AA179+AB178</f>
        <v>6683.5296384794665</v>
      </c>
      <c r="AC179" s="312">
        <f t="shared" ref="AC179" si="103">AB179+AC178</f>
        <v>7016.0122690649969</v>
      </c>
      <c r="AD179" s="312">
        <f t="shared" ref="AD179" si="104">AC179+AD178</f>
        <v>7350.3353831827644</v>
      </c>
      <c r="AE179" s="312">
        <f t="shared" ref="AE179" si="105">AD179+AE178</f>
        <v>7686.5076311053699</v>
      </c>
      <c r="AF179" s="312">
        <f t="shared" ref="AF179" si="106">AE179+AF178</f>
        <v>8024.5377037616972</v>
      </c>
      <c r="AG179" s="312">
        <f t="shared" ref="AG179" si="107">AF179+AG178</f>
        <v>8364.4343329279945</v>
      </c>
      <c r="AH179" s="312">
        <f t="shared" ref="AH179" si="108">AG179+AH178</f>
        <v>8706.2062914198577</v>
      </c>
      <c r="AI179" s="312">
        <f t="shared" ref="AI179" si="109">AH179+AI178</f>
        <v>9049.8623932851187</v>
      </c>
      <c r="AJ179" s="312">
        <f t="shared" ref="AJ179" si="110">AI179+AJ178</f>
        <v>9395.4114939976316</v>
      </c>
      <c r="AK179" s="312">
        <f t="shared" ref="AK179" si="111">AJ179+AK178</f>
        <v>9742.8624906519781</v>
      </c>
      <c r="AL179" s="312">
        <f t="shared" ref="AL179" si="112">AK179+AL178</f>
        <v>10092.224322159085</v>
      </c>
      <c r="AM179" s="312">
        <f t="shared" ref="AM179" si="113">AL179+AM178</f>
        <v>10443.50596944276</v>
      </c>
      <c r="AN179" s="312">
        <f t="shared" ref="AN179" si="114">AM179+AN178</f>
        <v>10796.716455637154</v>
      </c>
      <c r="AO179" s="312">
        <f t="shared" ref="AO179" si="115">AN179+AO178</f>
        <v>11151.864846285147</v>
      </c>
      <c r="AP179" s="312">
        <f t="shared" ref="AP179" si="116">AO179+AP178</f>
        <v>11508.960249537671</v>
      </c>
      <c r="AQ179" s="312">
        <f t="shared" ref="AQ179" si="117">AP179+AQ178</f>
        <v>11868.011816353966</v>
      </c>
      <c r="AR179" s="312">
        <f t="shared" ref="AR179" si="118">AQ179+AR178</f>
        <v>12229.028740702784</v>
      </c>
      <c r="AS179" s="312">
        <f t="shared" ref="AS179" si="119">AR179+AS178</f>
        <v>12592.020259764526</v>
      </c>
      <c r="AT179" s="312">
        <f t="shared" ref="AT179" si="120">AS179+AT178</f>
        <v>12956.995654134344</v>
      </c>
      <c r="AU179" s="312">
        <f t="shared" ref="AU179" si="121">AT179+AU178</f>
        <v>13323.964248026185</v>
      </c>
      <c r="AV179" s="312">
        <f t="shared" ref="AV179" si="122">AU179+AV178</f>
        <v>13692.935409477803</v>
      </c>
      <c r="AW179" s="312">
        <f t="shared" ref="AW179" si="123">AV179+AW178</f>
        <v>14063.918550556727</v>
      </c>
      <c r="AX179" s="312">
        <f t="shared" ref="AX179" si="124">AW179+AX178</f>
        <v>14436.923127567208</v>
      </c>
      <c r="AY179" s="312">
        <f t="shared" ref="AY179" si="125">AX179+AY178</f>
        <v>14811.958641258123</v>
      </c>
      <c r="AZ179" s="312">
        <f t="shared" ref="AZ179" si="126">AY179+AZ178</f>
        <v>15189.034637031871</v>
      </c>
      <c r="BA179" s="312">
        <f t="shared" ref="BA179" si="127">AZ179+BA178</f>
        <v>15568.160705154241</v>
      </c>
      <c r="BB179" s="312">
        <f t="shared" ref="BB179" si="128">BA179+BB178</f>
        <v>15949.346480965272</v>
      </c>
      <c r="BC179" s="312">
        <f t="shared" ref="BC179" si="129">BB179+BC178</f>
        <v>16332.601645091099</v>
      </c>
    </row>
    <row r="180" spans="2:55" s="206" customFormat="1" ht="16.899999999999999" customHeight="1" outlineLevel="1" x14ac:dyDescent="0.25">
      <c r="B180" s="206" t="s">
        <v>416</v>
      </c>
      <c r="C180" s="307">
        <f>C175/(1+$D$28)^C32</f>
        <v>304.46313456917756</v>
      </c>
      <c r="D180" s="307">
        <f t="shared" ref="D180:BC180" si="130">D175/(1+$D$28)^D32</f>
        <v>199.39014110970422</v>
      </c>
      <c r="E180" s="307">
        <f t="shared" si="130"/>
        <v>226.38338050058456</v>
      </c>
      <c r="F180" s="307">
        <f t="shared" si="130"/>
        <v>192.51044694902956</v>
      </c>
      <c r="G180" s="307">
        <f t="shared" si="130"/>
        <v>184.93968090150864</v>
      </c>
      <c r="H180" s="307">
        <f t="shared" si="130"/>
        <v>177.62876352939995</v>
      </c>
      <c r="I180" s="307">
        <f t="shared" si="130"/>
        <v>170.57153579142394</v>
      </c>
      <c r="J180" s="307">
        <f t="shared" si="130"/>
        <v>163.76175433067047</v>
      </c>
      <c r="K180" s="307">
        <f t="shared" si="130"/>
        <v>157.19311814883415</v>
      </c>
      <c r="L180" s="307">
        <f t="shared" si="130"/>
        <v>150.85929266399964</v>
      </c>
      <c r="M180" s="307">
        <f t="shared" si="130"/>
        <v>144.75393135590338</v>
      </c>
      <c r="N180" s="307">
        <f t="shared" si="130"/>
        <v>138.87069518824705</v>
      </c>
      <c r="O180" s="307">
        <f t="shared" si="130"/>
        <v>133.20326998423607</v>
      </c>
      <c r="P180" s="307">
        <f t="shared" si="130"/>
        <v>127.74538191900693</v>
      </c>
      <c r="Q180" s="307">
        <f t="shared" si="130"/>
        <v>122.49081128093675</v>
      </c>
      <c r="R180" s="307">
        <f t="shared" si="130"/>
        <v>117.43340464293679</v>
      </c>
      <c r="S180" s="307">
        <f t="shared" si="130"/>
        <v>112.56708557467148</v>
      </c>
      <c r="T180" s="307">
        <f t="shared" si="130"/>
        <v>107.88586401717126</v>
      </c>
      <c r="U180" s="307">
        <f t="shared" si="130"/>
        <v>103.38384443247072</v>
      </c>
      <c r="V180" s="307">
        <f t="shared" si="130"/>
        <v>99.055232832668892</v>
      </c>
      <c r="W180" s="307">
        <f t="shared" si="130"/>
        <v>94.894342785130704</v>
      </c>
      <c r="X180" s="307">
        <f t="shared" si="130"/>
        <v>90.895600483396635</v>
      </c>
      <c r="Y180" s="307">
        <f t="shared" si="130"/>
        <v>87.05354896670363</v>
      </c>
      <c r="Z180" s="307">
        <f t="shared" si="130"/>
        <v>95.393759618293913</v>
      </c>
      <c r="AA180" s="307">
        <f t="shared" si="130"/>
        <v>90.699153371790402</v>
      </c>
      <c r="AB180" s="307">
        <f t="shared" si="130"/>
        <v>86.23518035025694</v>
      </c>
      <c r="AC180" s="307">
        <f t="shared" si="130"/>
        <v>81.990532426845704</v>
      </c>
      <c r="AD180" s="307">
        <f t="shared" si="130"/>
        <v>77.954454687005295</v>
      </c>
      <c r="AE180" s="307">
        <f t="shared" si="130"/>
        <v>74.116718432972405</v>
      </c>
      <c r="AF180" s="307">
        <f t="shared" si="130"/>
        <v>70.467595501766226</v>
      </c>
      <c r="AG180" s="307">
        <f t="shared" si="130"/>
        <v>66.997833832988377</v>
      </c>
      <c r="AH180" s="307">
        <f t="shared" si="130"/>
        <v>63.698634225808256</v>
      </c>
      <c r="AI180" s="307">
        <f t="shared" si="130"/>
        <v>60.56162822744276</v>
      </c>
      <c r="AJ180" s="307">
        <f t="shared" si="130"/>
        <v>57.578857098227168</v>
      </c>
      <c r="AK180" s="307">
        <f t="shared" si="130"/>
        <v>54.742751801028476</v>
      </c>
      <c r="AL180" s="307">
        <f t="shared" si="130"/>
        <v>52.04611396527828</v>
      </c>
      <c r="AM180" s="307">
        <f t="shared" si="130"/>
        <v>49.482097778307157</v>
      </c>
      <c r="AN180" s="307">
        <f t="shared" si="130"/>
        <v>47.044192758951567</v>
      </c>
      <c r="AO180" s="307">
        <f t="shared" si="130"/>
        <v>44.726207370582301</v>
      </c>
      <c r="AP180" s="307">
        <f t="shared" si="130"/>
        <v>42.522253432777958</v>
      </c>
      <c r="AQ180" s="307">
        <f t="shared" si="130"/>
        <v>40.426731292839847</v>
      </c>
      <c r="AR180" s="307">
        <f t="shared" si="130"/>
        <v>38.434315720224262</v>
      </c>
      <c r="AS180" s="307">
        <f t="shared" si="130"/>
        <v>36.539942488754974</v>
      </c>
      <c r="AT180" s="307">
        <f t="shared" si="130"/>
        <v>34.738795613181495</v>
      </c>
      <c r="AU180" s="307">
        <f t="shared" si="130"/>
        <v>33.026295208267989</v>
      </c>
      <c r="AV180" s="307">
        <f t="shared" si="130"/>
        <v>31.398085940139378</v>
      </c>
      <c r="AW180" s="307">
        <f t="shared" si="130"/>
        <v>29.850026041078042</v>
      </c>
      <c r="AX180" s="307">
        <f t="shared" si="130"/>
        <v>28.378176860361364</v>
      </c>
      <c r="AY180" s="307">
        <f t="shared" si="130"/>
        <v>26.97879292505888</v>
      </c>
      <c r="AZ180" s="307">
        <f t="shared" si="130"/>
        <v>25.648312485972749</v>
      </c>
      <c r="BA180" s="307">
        <f t="shared" si="130"/>
        <v>24.383348525108794</v>
      </c>
      <c r="BB180" s="307">
        <f t="shared" si="130"/>
        <v>23.180680202210961</v>
      </c>
      <c r="BC180" s="307">
        <f t="shared" si="130"/>
        <v>22.037244718981924</v>
      </c>
    </row>
    <row r="181" spans="2:55" s="206" customFormat="1" ht="16.899999999999999" customHeight="1" outlineLevel="1" x14ac:dyDescent="0.25">
      <c r="B181" s="300" t="s">
        <v>417</v>
      </c>
      <c r="C181" s="307">
        <f>C180</f>
        <v>304.46313456917756</v>
      </c>
      <c r="D181" s="312">
        <f t="shared" ref="D181" si="131">C181+D180</f>
        <v>503.8532756788818</v>
      </c>
      <c r="E181" s="312">
        <f t="shared" ref="E181" si="132">D181+E180</f>
        <v>730.23665617946631</v>
      </c>
      <c r="F181" s="312">
        <f t="shared" ref="F181" si="133">E181+F180</f>
        <v>922.74710312849584</v>
      </c>
      <c r="G181" s="312">
        <f t="shared" ref="G181" si="134">F181+G180</f>
        <v>1107.6867840300044</v>
      </c>
      <c r="H181" s="312">
        <f t="shared" ref="H181" si="135">G181+H180</f>
        <v>1285.3155475594044</v>
      </c>
      <c r="I181" s="312">
        <f t="shared" ref="I181" si="136">H181+I180</f>
        <v>1455.8870833508283</v>
      </c>
      <c r="J181" s="312">
        <f t="shared" ref="J181" si="137">I181+J180</f>
        <v>1619.6488376814989</v>
      </c>
      <c r="K181" s="312">
        <f t="shared" ref="K181" si="138">J181+K180</f>
        <v>1776.8419558303331</v>
      </c>
      <c r="L181" s="312">
        <f t="shared" ref="L181" si="139">K181+L180</f>
        <v>1927.7012484943327</v>
      </c>
      <c r="M181" s="312">
        <f t="shared" ref="M181" si="140">L181+M180</f>
        <v>2072.4551798502362</v>
      </c>
      <c r="N181" s="312">
        <f t="shared" ref="N181" si="141">M181+N180</f>
        <v>2211.325875038483</v>
      </c>
      <c r="O181" s="312">
        <f t="shared" ref="O181" si="142">N181+O180</f>
        <v>2344.5291450227191</v>
      </c>
      <c r="P181" s="312">
        <f t="shared" ref="P181" si="143">O181+P180</f>
        <v>2472.274526941726</v>
      </c>
      <c r="Q181" s="312">
        <f t="shared" ref="Q181" si="144">P181+Q180</f>
        <v>2594.7653382226626</v>
      </c>
      <c r="R181" s="312">
        <f t="shared" ref="R181" si="145">Q181+R180</f>
        <v>2712.1987428655993</v>
      </c>
      <c r="S181" s="312">
        <f t="shared" ref="S181" si="146">R181+S180</f>
        <v>2824.765828440271</v>
      </c>
      <c r="T181" s="312">
        <f t="shared" ref="T181" si="147">S181+T180</f>
        <v>2932.6516924574421</v>
      </c>
      <c r="U181" s="312">
        <f t="shared" ref="U181" si="148">T181+U180</f>
        <v>3036.0355368899127</v>
      </c>
      <c r="V181" s="312">
        <f t="shared" ref="V181" si="149">U181+V180</f>
        <v>3135.0907697225816</v>
      </c>
      <c r="W181" s="312">
        <f t="shared" ref="W181" si="150">V181+W180</f>
        <v>3229.9851125077125</v>
      </c>
      <c r="X181" s="312">
        <f t="shared" ref="X181" si="151">W181+X180</f>
        <v>3320.8807129911092</v>
      </c>
      <c r="Y181" s="312">
        <f t="shared" ref="Y181" si="152">X181+Y180</f>
        <v>3407.9342619578129</v>
      </c>
      <c r="Z181" s="312">
        <f t="shared" ref="Z181" si="153">Y181+Z180</f>
        <v>3503.3280215761069</v>
      </c>
      <c r="AA181" s="312">
        <f t="shared" ref="AA181" si="154">Z181+AA180</f>
        <v>3594.0271749478975</v>
      </c>
      <c r="AB181" s="312">
        <f t="shared" ref="AB181" si="155">AA181+AB180</f>
        <v>3680.2623552981545</v>
      </c>
      <c r="AC181" s="312">
        <f t="shared" ref="AC181" si="156">AB181+AC180</f>
        <v>3762.2528877250002</v>
      </c>
      <c r="AD181" s="312">
        <f t="shared" ref="AD181" si="157">AC181+AD180</f>
        <v>3840.2073424120053</v>
      </c>
      <c r="AE181" s="312">
        <f t="shared" ref="AE181" si="158">AD181+AE180</f>
        <v>3914.3240608449778</v>
      </c>
      <c r="AF181" s="312">
        <f t="shared" ref="AF181" si="159">AE181+AF180</f>
        <v>3984.7916563467438</v>
      </c>
      <c r="AG181" s="312">
        <f t="shared" ref="AG181" si="160">AF181+AG180</f>
        <v>4051.7894901797322</v>
      </c>
      <c r="AH181" s="312">
        <f t="shared" ref="AH181" si="161">AG181+AH180</f>
        <v>4115.4881244055405</v>
      </c>
      <c r="AI181" s="312">
        <f t="shared" ref="AI181" si="162">AH181+AI180</f>
        <v>4176.0497526329837</v>
      </c>
      <c r="AJ181" s="312">
        <f t="shared" ref="AJ181" si="163">AI181+AJ180</f>
        <v>4233.6286097312104</v>
      </c>
      <c r="AK181" s="312">
        <f t="shared" ref="AK181" si="164">AJ181+AK180</f>
        <v>4288.3713615322386</v>
      </c>
      <c r="AL181" s="312">
        <f t="shared" ref="AL181" si="165">AK181+AL180</f>
        <v>4340.4174754975165</v>
      </c>
      <c r="AM181" s="312">
        <f t="shared" ref="AM181" si="166">AL181+AM180</f>
        <v>4389.899573275824</v>
      </c>
      <c r="AN181" s="312">
        <f t="shared" ref="AN181" si="167">AM181+AN180</f>
        <v>4436.9437660347758</v>
      </c>
      <c r="AO181" s="312">
        <f t="shared" ref="AO181" si="168">AN181+AO180</f>
        <v>4481.6699734053582</v>
      </c>
      <c r="AP181" s="312">
        <f t="shared" ref="AP181" si="169">AO181+AP180</f>
        <v>4524.1922268381359</v>
      </c>
      <c r="AQ181" s="312">
        <f t="shared" ref="AQ181" si="170">AP181+AQ180</f>
        <v>4564.6189581309754</v>
      </c>
      <c r="AR181" s="312">
        <f t="shared" ref="AR181" si="171">AQ181+AR180</f>
        <v>4603.0532738511993</v>
      </c>
      <c r="AS181" s="312">
        <f t="shared" ref="AS181" si="172">AR181+AS180</f>
        <v>4639.5932163399539</v>
      </c>
      <c r="AT181" s="312">
        <f t="shared" ref="AT181" si="173">AS181+AT180</f>
        <v>4674.3320119531354</v>
      </c>
      <c r="AU181" s="312">
        <f t="shared" ref="AU181" si="174">AT181+AU180</f>
        <v>4707.358307161403</v>
      </c>
      <c r="AV181" s="312">
        <f t="shared" ref="AV181" si="175">AU181+AV180</f>
        <v>4738.756393101542</v>
      </c>
      <c r="AW181" s="312">
        <f t="shared" ref="AW181" si="176">AV181+AW180</f>
        <v>4768.6064191426203</v>
      </c>
      <c r="AX181" s="312">
        <f t="shared" ref="AX181" si="177">AW181+AX180</f>
        <v>4796.9845960029816</v>
      </c>
      <c r="AY181" s="312">
        <f t="shared" ref="AY181" si="178">AX181+AY180</f>
        <v>4823.9633889280403</v>
      </c>
      <c r="AZ181" s="312">
        <f t="shared" ref="AZ181" si="179">AY181+AZ180</f>
        <v>4849.6117014140127</v>
      </c>
      <c r="BA181" s="312">
        <f t="shared" ref="BA181" si="180">AZ181+BA180</f>
        <v>4873.9950499391216</v>
      </c>
      <c r="BB181" s="312">
        <f t="shared" ref="BB181" si="181">BA181+BB180</f>
        <v>4897.1757301413327</v>
      </c>
      <c r="BC181" s="312">
        <f t="shared" ref="BC181" si="182">BB181+BC180</f>
        <v>4919.2129748603147</v>
      </c>
    </row>
    <row r="182" spans="2:55" s="206" customFormat="1" ht="16.899999999999999" customHeight="1" outlineLevel="1" x14ac:dyDescent="0.25">
      <c r="B182" s="300" t="s">
        <v>418</v>
      </c>
      <c r="C182" s="307">
        <f t="shared" ref="C182:AH182" si="183">C167/(1+$C$28)^C32</f>
        <v>200.72981182790829</v>
      </c>
      <c r="D182" s="307">
        <f t="shared" si="183"/>
        <v>367.98574658994107</v>
      </c>
      <c r="E182" s="307">
        <f t="shared" si="183"/>
        <v>223.28697305732067</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-4.3059524404791993</v>
      </c>
      <c r="H183" s="1723">
        <f t="shared" si="185"/>
        <v>0</v>
      </c>
      <c r="I183" s="1723">
        <f t="shared" si="185"/>
        <v>0</v>
      </c>
      <c r="J183" s="1723">
        <f t="shared" si="185"/>
        <v>0</v>
      </c>
      <c r="K183" s="1723">
        <f t="shared" si="185"/>
        <v>0</v>
      </c>
      <c r="L183" s="1723">
        <f t="shared" si="185"/>
        <v>0</v>
      </c>
      <c r="M183" s="322">
        <f t="shared" ref="M183:BC183" si="186">IF(M$32&lt;=3,0,IF(M176&lt;0,1,IF(L183=1,1-(M176/M175),0)))</f>
        <v>0</v>
      </c>
      <c r="N183" s="322">
        <f t="shared" si="186"/>
        <v>0</v>
      </c>
      <c r="O183" s="322">
        <f t="shared" si="186"/>
        <v>0</v>
      </c>
      <c r="P183" s="322">
        <f t="shared" si="186"/>
        <v>0</v>
      </c>
      <c r="Q183" s="322">
        <f t="shared" si="186"/>
        <v>0</v>
      </c>
      <c r="R183" s="322">
        <f t="shared" si="186"/>
        <v>0</v>
      </c>
      <c r="S183" s="322">
        <f t="shared" si="186"/>
        <v>0</v>
      </c>
      <c r="T183" s="322">
        <f t="shared" si="186"/>
        <v>0</v>
      </c>
      <c r="U183" s="322">
        <f t="shared" si="186"/>
        <v>0</v>
      </c>
      <c r="V183" s="322">
        <f t="shared" si="186"/>
        <v>0</v>
      </c>
      <c r="W183" s="322">
        <f t="shared" si="186"/>
        <v>0</v>
      </c>
      <c r="X183" s="322">
        <f t="shared" si="186"/>
        <v>0</v>
      </c>
      <c r="Y183" s="322">
        <f t="shared" si="186"/>
        <v>0</v>
      </c>
      <c r="Z183" s="322">
        <f t="shared" si="186"/>
        <v>0</v>
      </c>
      <c r="AA183" s="322">
        <f t="shared" si="186"/>
        <v>0</v>
      </c>
      <c r="AB183" s="322">
        <f t="shared" si="186"/>
        <v>0</v>
      </c>
      <c r="AC183" s="322">
        <f t="shared" si="186"/>
        <v>0</v>
      </c>
      <c r="AD183" s="322">
        <f t="shared" si="186"/>
        <v>0</v>
      </c>
      <c r="AE183" s="322">
        <f t="shared" si="186"/>
        <v>0</v>
      </c>
      <c r="AF183" s="322">
        <f t="shared" si="186"/>
        <v>0</v>
      </c>
      <c r="AG183" s="322">
        <f t="shared" si="186"/>
        <v>0</v>
      </c>
      <c r="AH183" s="322">
        <f t="shared" si="186"/>
        <v>0</v>
      </c>
      <c r="AI183" s="322">
        <f t="shared" si="186"/>
        <v>0</v>
      </c>
      <c r="AJ183" s="322">
        <f t="shared" si="186"/>
        <v>0</v>
      </c>
      <c r="AK183" s="322">
        <f t="shared" si="186"/>
        <v>0</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t="e">
        <f>IF(AK31=1,IRR($C175:AK175),"-")</f>
        <v>#NUM!</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opLeftCell="A13" zoomScale="75" zoomScaleNormal="75" workbookViewId="0">
      <selection activeCell="C20" sqref="C20"/>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9" t="str">
        <f>'R&amp;C-Painel de Controle'!G2</f>
        <v>CIRSOP - Consórcio RSU Oeste Paulista</v>
      </c>
      <c r="D2" s="2380"/>
      <c r="E2" s="2380"/>
      <c r="F2" s="2380"/>
      <c r="G2" s="2380"/>
      <c r="H2" s="2381"/>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5000</v>
      </c>
      <c r="D4" s="1891" t="str">
        <f>D104</f>
        <v>t/d</v>
      </c>
      <c r="E4" s="1892"/>
      <c r="F4" s="1892"/>
      <c r="G4" s="1892"/>
      <c r="H4" s="1893"/>
      <c r="I4" s="1192"/>
    </row>
    <row r="5" spans="1:60" ht="19.899999999999999" customHeight="1" x14ac:dyDescent="0.25">
      <c r="B5" s="1894" t="s">
        <v>1119</v>
      </c>
      <c r="C5" s="1895">
        <f>'R&amp;C-Painel de Controle'!D33</f>
        <v>120.52582597414886</v>
      </c>
      <c r="D5" s="1896" t="s">
        <v>342</v>
      </c>
      <c r="E5" s="1897"/>
      <c r="F5" s="1897"/>
      <c r="G5" s="1897"/>
      <c r="H5" s="1898"/>
      <c r="I5" s="1192"/>
    </row>
    <row r="6" spans="1:60" s="1998" customFormat="1" ht="19.899999999999999" customHeight="1" x14ac:dyDescent="0.25">
      <c r="A6" s="383"/>
      <c r="B6" s="1894" t="s">
        <v>1120</v>
      </c>
      <c r="C6" s="1895">
        <f>'R&amp;C-Painel de Controle'!H33</f>
        <v>314.66246540689212</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9.611299999999999E-2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82" t="s">
        <v>1092</v>
      </c>
      <c r="C10" s="2383"/>
      <c r="D10" s="2386" t="s">
        <v>1122</v>
      </c>
      <c r="E10" s="2387"/>
      <c r="F10" s="2387"/>
      <c r="G10" s="2387"/>
      <c r="H10" s="2388"/>
      <c r="J10" s="1842" t="s">
        <v>1089</v>
      </c>
      <c r="K10" s="1842" t="s">
        <v>1087</v>
      </c>
      <c r="L10" s="1842" t="s">
        <v>1090</v>
      </c>
      <c r="M10" s="1842" t="s">
        <v>1088</v>
      </c>
      <c r="AI10" s="1734"/>
    </row>
    <row r="11" spans="1:60" s="1079" customFormat="1" ht="19.899999999999999" customHeight="1" thickBot="1" x14ac:dyDescent="0.3">
      <c r="A11" s="1734"/>
      <c r="B11" s="2384"/>
      <c r="C11" s="2385"/>
      <c r="D11" s="2389"/>
      <c r="E11" s="2390"/>
      <c r="F11" s="2390"/>
      <c r="G11" s="2390"/>
      <c r="H11" s="2391"/>
      <c r="AI11" s="1734"/>
    </row>
    <row r="12" spans="1:60" ht="4.9000000000000004" customHeight="1" thickTop="1" thickBot="1" x14ac:dyDescent="0.3"/>
    <row r="13" spans="1:60" s="42" customFormat="1" ht="25.15" customHeight="1" thickTop="1" thickBot="1" x14ac:dyDescent="0.3">
      <c r="A13" s="1740"/>
      <c r="B13" s="2396" t="s">
        <v>1084</v>
      </c>
      <c r="C13" s="2397"/>
      <c r="D13" s="2397"/>
      <c r="E13" s="2397"/>
      <c r="F13" s="2397"/>
      <c r="G13" s="2397"/>
      <c r="H13" s="2398"/>
      <c r="I13" s="1783"/>
      <c r="J13" s="1783"/>
      <c r="AI13" s="1740"/>
    </row>
    <row r="14" spans="1:60" s="860" customFormat="1" ht="15"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customHeight="1" outlineLevel="1" x14ac:dyDescent="0.25">
      <c r="A15" s="2378"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customHeight="1" outlineLevel="1" x14ac:dyDescent="0.25">
      <c r="A16" s="2378"/>
      <c r="B16" s="1792" t="str">
        <f>'C-FCL Real'!B35</f>
        <v>Dados Quantitativos RSU</v>
      </c>
      <c r="C16" s="1807">
        <f>SUMIF($D$15:$BG$15,1,D16:BG16)</f>
        <v>58707765.198574834</v>
      </c>
      <c r="D16" s="1802">
        <f>'C-FCL Real'!C35</f>
        <v>1560000</v>
      </c>
      <c r="E16" s="1787">
        <f>'C-FCL Real'!D35</f>
        <v>1567332</v>
      </c>
      <c r="F16" s="1787">
        <f>'C-FCL Real'!E35</f>
        <v>1574698.4604</v>
      </c>
      <c r="G16" s="1787">
        <f>'C-FCL Real'!F35</f>
        <v>1582099.5431638798</v>
      </c>
      <c r="H16" s="1787">
        <f>'C-FCL Real'!G35</f>
        <v>1589535.4110167499</v>
      </c>
      <c r="I16" s="1787">
        <f>'C-FCL Real'!H35</f>
        <v>1597006.2274485286</v>
      </c>
      <c r="J16" s="1787">
        <f>'C-FCL Real'!I35</f>
        <v>1604512.1567175365</v>
      </c>
      <c r="K16" s="1787">
        <f>'C-FCL Real'!J35</f>
        <v>1612053.3638541088</v>
      </c>
      <c r="L16" s="1787">
        <f>'C-FCL Real'!K35</f>
        <v>1619630.014664223</v>
      </c>
      <c r="M16" s="1787">
        <f>'C-FCL Real'!L35</f>
        <v>1627242.2757331447</v>
      </c>
      <c r="N16" s="1787">
        <f>'C-FCL Real'!M35</f>
        <v>1634890.3144290904</v>
      </c>
      <c r="O16" s="1787">
        <f>'C-FCL Real'!N35</f>
        <v>1642574.298906907</v>
      </c>
      <c r="P16" s="1787">
        <f>'C-FCL Real'!O35</f>
        <v>1650294.3981117692</v>
      </c>
      <c r="Q16" s="1787">
        <f>'C-FCL Real'!P35</f>
        <v>1658050.7817828944</v>
      </c>
      <c r="R16" s="1787">
        <f>'C-FCL Real'!Q35</f>
        <v>1665843.6204572739</v>
      </c>
      <c r="S16" s="1787">
        <f>'C-FCL Real'!O35</f>
        <v>1650294.3981117692</v>
      </c>
      <c r="T16" s="1787">
        <f>'C-FCL Real'!P35</f>
        <v>1658050.7817828944</v>
      </c>
      <c r="U16" s="1787">
        <f>'C-FCL Real'!Q35</f>
        <v>1665843.6204572739</v>
      </c>
      <c r="V16" s="1787">
        <f>'C-FCL Real'!R35</f>
        <v>1673673.0854734229</v>
      </c>
      <c r="W16" s="1787">
        <f>'C-FCL Real'!S35</f>
        <v>1681539.3489751478</v>
      </c>
      <c r="X16" s="1787">
        <f>'C-FCL Real'!T35</f>
        <v>1689442.5839153309</v>
      </c>
      <c r="Y16" s="1787">
        <f>'C-FCL Real'!U35</f>
        <v>1697382.9640597329</v>
      </c>
      <c r="Z16" s="1787">
        <f>'C-FCL Real'!V35</f>
        <v>1705360.6639908135</v>
      </c>
      <c r="AA16" s="1787">
        <f>'C-FCL Real'!W35</f>
        <v>1713375.8591115703</v>
      </c>
      <c r="AB16" s="1787">
        <f>'C-FCL Real'!X35</f>
        <v>1721428.7256493946</v>
      </c>
      <c r="AC16" s="1787">
        <f>'C-FCL Real'!Y35</f>
        <v>1729519.4406599465</v>
      </c>
      <c r="AD16" s="1787">
        <f>'C-FCL Real'!Z35</f>
        <v>1737648.1820310482</v>
      </c>
      <c r="AE16" s="1787">
        <f>'C-FCL Real'!AA35</f>
        <v>1745815.128486594</v>
      </c>
      <c r="AF16" s="1787">
        <f>'C-FCL Real'!AB35</f>
        <v>1754020.4595904809</v>
      </c>
      <c r="AG16" s="1787">
        <f>'C-FCL Real'!AC35</f>
        <v>1762264.3557505561</v>
      </c>
      <c r="AH16" s="1787">
        <f>'C-FCL Real'!AD35</f>
        <v>1770546.9982225837</v>
      </c>
      <c r="AI16" s="1787">
        <f>'C-FCL Real'!AE35</f>
        <v>1778868.5691142296</v>
      </c>
      <c r="AJ16" s="1787">
        <f>'C-FCL Real'!AF35</f>
        <v>1787229.2513890665</v>
      </c>
      <c r="AK16" s="1787">
        <f>'C-FCL Real'!AG35</f>
        <v>1795629.2288705949</v>
      </c>
      <c r="AL16" s="1787">
        <f>'C-FCL Real'!AH35</f>
        <v>1804068.6862462866</v>
      </c>
      <c r="AM16" s="1787">
        <f>'C-FCL Real'!AI35</f>
        <v>1812547.809071644</v>
      </c>
      <c r="AN16" s="1787">
        <f>'C-FCL Real'!AJ35</f>
        <v>1821066.7837742805</v>
      </c>
      <c r="AO16" s="1787">
        <f>'C-FCL Real'!AK35</f>
        <v>1829625.7976580195</v>
      </c>
      <c r="AP16" s="1787">
        <f>'C-FCL Real'!AL35</f>
        <v>1838225.038907012</v>
      </c>
      <c r="AQ16" s="1787">
        <f>'C-FCL Real'!AM35</f>
        <v>1846864.6965898748</v>
      </c>
      <c r="AR16" s="1787">
        <f>'C-FCL Real'!AN35</f>
        <v>1855544.9606638472</v>
      </c>
      <c r="AS16" s="1787">
        <f>'C-FCL Real'!AO35</f>
        <v>1864266.0219789671</v>
      </c>
      <c r="AT16" s="1787">
        <f>'C-FCL Real'!AP35</f>
        <v>1873028.0722822682</v>
      </c>
      <c r="AU16" s="1787">
        <f>'C-FCL Real'!AQ35</f>
        <v>1881831.3042219947</v>
      </c>
      <c r="AV16" s="1787">
        <f>'C-FCL Real'!AR35</f>
        <v>1890675.9113518379</v>
      </c>
      <c r="AW16" s="1787">
        <f>'C-FCL Real'!AS35</f>
        <v>1899562.0881351915</v>
      </c>
      <c r="AX16" s="1787">
        <f>'C-FCL Real'!AT35</f>
        <v>1908490.0299494267</v>
      </c>
      <c r="AY16" s="1787">
        <f>'C-FCL Real'!AU35</f>
        <v>1917459.9330901888</v>
      </c>
      <c r="AZ16" s="1787">
        <f>'C-FCL Real'!AV35</f>
        <v>1926471.9947757125</v>
      </c>
      <c r="BA16" s="1787">
        <f>'C-FCL Real'!AW35</f>
        <v>1935526.4131511583</v>
      </c>
      <c r="BB16" s="1787">
        <f>'C-FCL Real'!AX35</f>
        <v>1944623.3872929686</v>
      </c>
      <c r="BC16" s="1787">
        <f>'C-FCL Real'!AY35</f>
        <v>1953763.1172132455</v>
      </c>
      <c r="BD16" s="1787">
        <f>'C-FCL Real'!AZ35</f>
        <v>1962945.8038641475</v>
      </c>
      <c r="BE16" s="1787">
        <f>'C-FCL Real'!BA35</f>
        <v>1972171.6491423089</v>
      </c>
      <c r="BF16" s="1787">
        <f>'C-FCL Real'!BB35</f>
        <v>1981440.8558932776</v>
      </c>
      <c r="BG16" s="1787">
        <f>'C-FCL Real'!BC35</f>
        <v>1990753.6279159759</v>
      </c>
      <c r="BH16" s="1787">
        <f>'C-FCL Real'!BD35</f>
        <v>0</v>
      </c>
    </row>
    <row r="17" spans="1:60" ht="15"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customHeight="1" outlineLevel="1" x14ac:dyDescent="0.25">
      <c r="A18" s="1823">
        <f>C18*1000000/$C$16</f>
        <v>21.227539109505777</v>
      </c>
      <c r="B18" s="1794" t="str">
        <f>'C-FCL Real'!B63</f>
        <v>Dados de Capex</v>
      </c>
      <c r="C18" s="1809">
        <f>SUMIF($D$15:$BG$15,1,D18:BG18)</f>
        <v>1246.2213817844295</v>
      </c>
      <c r="D18" s="1804">
        <f>'C-FCL Real'!C63</f>
        <v>286.75687403986899</v>
      </c>
      <c r="E18" s="51">
        <f>'C-FCL Real'!D63</f>
        <v>576.21994378848581</v>
      </c>
      <c r="F18" s="51">
        <f>'C-FCL Real'!E63</f>
        <v>383.24456395607456</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customHeight="1" outlineLevel="1" x14ac:dyDescent="0.25">
      <c r="A19" s="1823">
        <f>C19*1000000/$C$16</f>
        <v>19.366195920955029</v>
      </c>
      <c r="B19" s="1847" t="s">
        <v>1008</v>
      </c>
      <c r="C19" s="1808">
        <f>SUMIF($D$15:$BG$15,1,D19:BG19)</f>
        <v>1136.9460829170255</v>
      </c>
      <c r="D19" s="1804">
        <f t="shared" ref="D19:AJ19" si="0">NPV($C$8,D18:D18)</f>
        <v>261.61251079028261</v>
      </c>
      <c r="E19" s="51">
        <f t="shared" si="0"/>
        <v>525.6939236999159</v>
      </c>
      <c r="F19" s="51">
        <f t="shared" si="0"/>
        <v>349.63964842682697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customHeight="1" outlineLevel="1" x14ac:dyDescent="0.25">
      <c r="A20" s="1823"/>
      <c r="B20" s="1192"/>
      <c r="C20" s="1811">
        <f>C18*1000000/(C16/C43)</f>
        <v>742.96386883270225</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customHeight="1" outlineLevel="1" x14ac:dyDescent="0.25">
      <c r="A21" s="1823">
        <f>C21*1000000/$C$16</f>
        <v>53.222800512828414</v>
      </c>
      <c r="B21" s="1794" t="str">
        <f>'C-FCL Real'!B119</f>
        <v>Dados de Opex + Gestão do Contrato</v>
      </c>
      <c r="C21" s="1809">
        <f>SUMIF($D$15:$BG$15,1,D21:BG21)</f>
        <v>3124.5916757177188</v>
      </c>
      <c r="D21" s="1804">
        <f>'C-FCL Real'!C119</f>
        <v>31.200917500000003</v>
      </c>
      <c r="E21" s="51">
        <f>'C-FCL Real'!D119</f>
        <v>31.200917500000003</v>
      </c>
      <c r="F21" s="51">
        <f>'C-FCL Real'!E119</f>
        <v>31.200917500000003</v>
      </c>
      <c r="G21" s="51">
        <f>'C-FCL Real'!F119</f>
        <v>94.718403850553656</v>
      </c>
      <c r="H21" s="51">
        <f>'C-FCL Real'!G119</f>
        <v>94.718403850553656</v>
      </c>
      <c r="I21" s="51">
        <f>'C-FCL Real'!H119</f>
        <v>94.718403850553656</v>
      </c>
      <c r="J21" s="51">
        <f>'C-FCL Real'!I119</f>
        <v>94.718403850553656</v>
      </c>
      <c r="K21" s="51">
        <f>'C-FCL Real'!J119</f>
        <v>94.718403850553656</v>
      </c>
      <c r="L21" s="51">
        <f>'C-FCL Real'!K119</f>
        <v>94.718403850553656</v>
      </c>
      <c r="M21" s="51">
        <f>'C-FCL Real'!L119</f>
        <v>94.718403850553656</v>
      </c>
      <c r="N21" s="51">
        <f>'C-FCL Real'!M119</f>
        <v>94.718403850553656</v>
      </c>
      <c r="O21" s="51">
        <f>'C-FCL Real'!N119</f>
        <v>94.718403850553656</v>
      </c>
      <c r="P21" s="51">
        <f>'C-FCL Real'!O119</f>
        <v>94.718403850553656</v>
      </c>
      <c r="Q21" s="51">
        <f>'C-FCL Real'!P119</f>
        <v>94.718403850553656</v>
      </c>
      <c r="R21" s="51">
        <f>'C-FCL Real'!Q119</f>
        <v>94.718403850553656</v>
      </c>
      <c r="S21" s="51">
        <f>'C-FCL Real'!O119</f>
        <v>94.718403850553656</v>
      </c>
      <c r="T21" s="51">
        <f>'C-FCL Real'!P119</f>
        <v>94.718403850553656</v>
      </c>
      <c r="U21" s="51">
        <f>'C-FCL Real'!Q119</f>
        <v>94.718403850553656</v>
      </c>
      <c r="V21" s="51">
        <f>'C-FCL Real'!R119</f>
        <v>94.718403850553656</v>
      </c>
      <c r="W21" s="51">
        <f>'C-FCL Real'!S119</f>
        <v>94.718403850553656</v>
      </c>
      <c r="X21" s="51">
        <f>'C-FCL Real'!T119</f>
        <v>94.718403850553656</v>
      </c>
      <c r="Y21" s="51">
        <f>'C-FCL Real'!U119</f>
        <v>94.718403850553656</v>
      </c>
      <c r="Z21" s="51">
        <f>'C-FCL Real'!V119</f>
        <v>94.718403850553656</v>
      </c>
      <c r="AA21" s="51">
        <f>'C-FCL Real'!W119</f>
        <v>94.718403850553656</v>
      </c>
      <c r="AB21" s="51">
        <f>'C-FCL Real'!X119</f>
        <v>94.718403850553656</v>
      </c>
      <c r="AC21" s="51">
        <f>'C-FCL Real'!Y119</f>
        <v>94.718403850553656</v>
      </c>
      <c r="AD21" s="51">
        <f>'C-FCL Real'!Z119</f>
        <v>94.718403850553656</v>
      </c>
      <c r="AE21" s="51">
        <f>'C-FCL Real'!AA119</f>
        <v>94.718403850553656</v>
      </c>
      <c r="AF21" s="51">
        <f>'C-FCL Real'!AB119</f>
        <v>94.718403850553656</v>
      </c>
      <c r="AG21" s="51">
        <f>'C-FCL Real'!AC119</f>
        <v>94.718403850553656</v>
      </c>
      <c r="AH21" s="51">
        <f>'C-FCL Real'!AD119</f>
        <v>94.718403850553656</v>
      </c>
      <c r="AI21" s="51">
        <f>'C-FCL Real'!AE119</f>
        <v>94.718403850553656</v>
      </c>
      <c r="AJ21" s="1739">
        <f>'C-FCL Real'!AF119</f>
        <v>94.718403850553656</v>
      </c>
      <c r="AK21" s="51">
        <f>'C-FCL Real'!AG119</f>
        <v>94.718403850553656</v>
      </c>
      <c r="AL21" s="51">
        <f>'C-FCL Real'!AH119</f>
        <v>94.718403850553656</v>
      </c>
      <c r="AM21" s="51">
        <f>'C-FCL Real'!AI119</f>
        <v>94.718403850553656</v>
      </c>
      <c r="AN21" s="51">
        <f>'C-FCL Real'!AJ119</f>
        <v>94.718403850553656</v>
      </c>
      <c r="AO21" s="51">
        <f>'C-FCL Real'!AK119</f>
        <v>94.718403850553656</v>
      </c>
      <c r="AP21" s="51">
        <f>'C-FCL Real'!AL119</f>
        <v>94.718403850553656</v>
      </c>
      <c r="AQ21" s="51">
        <f>'C-FCL Real'!AM119</f>
        <v>94.718403850553656</v>
      </c>
      <c r="AR21" s="51">
        <f>'C-FCL Real'!AN119</f>
        <v>94.718403850553656</v>
      </c>
      <c r="AS21" s="51">
        <f>'C-FCL Real'!AO119</f>
        <v>94.718403850553656</v>
      </c>
      <c r="AT21" s="51">
        <f>'C-FCL Real'!AP119</f>
        <v>94.718403850553656</v>
      </c>
      <c r="AU21" s="51">
        <f>'C-FCL Real'!AQ119</f>
        <v>94.718403850553656</v>
      </c>
      <c r="AV21" s="51">
        <f>'C-FCL Real'!AR119</f>
        <v>94.718403850553656</v>
      </c>
      <c r="AW21" s="51">
        <f>'C-FCL Real'!AS119</f>
        <v>94.718403850553656</v>
      </c>
      <c r="AX21" s="51">
        <f>'C-FCL Real'!AT119</f>
        <v>94.718403850553656</v>
      </c>
      <c r="AY21" s="51">
        <f>'C-FCL Real'!AU119</f>
        <v>94.718403850553656</v>
      </c>
      <c r="AZ21" s="51">
        <f>'C-FCL Real'!AV119</f>
        <v>94.718403850553656</v>
      </c>
      <c r="BA21" s="51">
        <f>'C-FCL Real'!AW119</f>
        <v>94.718403850553656</v>
      </c>
      <c r="BB21" s="51">
        <f>'C-FCL Real'!AX119</f>
        <v>94.718403850553656</v>
      </c>
      <c r="BC21" s="51">
        <f>'C-FCL Real'!AY119</f>
        <v>94.718403850553656</v>
      </c>
      <c r="BD21" s="51">
        <f>'C-FCL Real'!AZ119</f>
        <v>94.718403850553656</v>
      </c>
      <c r="BE21" s="51">
        <f>'C-FCL Real'!BA119</f>
        <v>94.718403850553656</v>
      </c>
      <c r="BF21" s="51">
        <f>'C-FCL Real'!BB119</f>
        <v>94.718403850553656</v>
      </c>
      <c r="BG21" s="51">
        <f>'C-FCL Real'!BC119</f>
        <v>94.718403850553656</v>
      </c>
      <c r="BH21" s="51">
        <f>'C-FCL Real'!BD119</f>
        <v>0</v>
      </c>
    </row>
    <row r="22" spans="1:60" ht="15" customHeight="1" outlineLevel="1" x14ac:dyDescent="0.25">
      <c r="A22" s="1823">
        <f>C22*1000000/$C$16</f>
        <v>45.612107979533278</v>
      </c>
      <c r="B22" s="1847" t="s">
        <v>1009</v>
      </c>
      <c r="C22" s="1808">
        <f>SUMIF($D$15:$BG$15,1,D22:BG22)</f>
        <v>2677.784925474481</v>
      </c>
      <c r="D22" s="1804">
        <f t="shared" ref="D22:AJ22" si="1">NPV($C$8,D21:D21)</f>
        <v>28.465055610142389</v>
      </c>
      <c r="E22" s="51">
        <f t="shared" si="1"/>
        <v>28.465055610142389</v>
      </c>
      <c r="F22" s="51">
        <f t="shared" si="1"/>
        <v>28.465055610142389</v>
      </c>
      <c r="G22" s="51">
        <f t="shared" si="1"/>
        <v>86.412991954801797</v>
      </c>
      <c r="H22" s="51">
        <f t="shared" si="1"/>
        <v>86.412991954801797</v>
      </c>
      <c r="I22" s="51">
        <f t="shared" si="1"/>
        <v>86.412991954801797</v>
      </c>
      <c r="J22" s="51">
        <f t="shared" si="1"/>
        <v>86.412991954801797</v>
      </c>
      <c r="K22" s="51">
        <f t="shared" si="1"/>
        <v>86.412991954801797</v>
      </c>
      <c r="L22" s="51">
        <f t="shared" si="1"/>
        <v>86.412991954801797</v>
      </c>
      <c r="M22" s="51">
        <f t="shared" si="1"/>
        <v>86.412991954801797</v>
      </c>
      <c r="N22" s="51">
        <f t="shared" si="1"/>
        <v>86.412991954801797</v>
      </c>
      <c r="O22" s="51">
        <f t="shared" si="1"/>
        <v>86.412991954801797</v>
      </c>
      <c r="P22" s="51">
        <f t="shared" si="1"/>
        <v>86.412991954801797</v>
      </c>
      <c r="Q22" s="51">
        <f t="shared" si="1"/>
        <v>86.412991954801797</v>
      </c>
      <c r="R22" s="51">
        <f t="shared" si="1"/>
        <v>86.412991954801797</v>
      </c>
      <c r="S22" s="51">
        <f t="shared" si="1"/>
        <v>86.412991954801797</v>
      </c>
      <c r="T22" s="51">
        <f t="shared" si="1"/>
        <v>86.412991954801797</v>
      </c>
      <c r="U22" s="51">
        <f t="shared" si="1"/>
        <v>86.412991954801797</v>
      </c>
      <c r="V22" s="51">
        <f t="shared" si="1"/>
        <v>86.412991954801797</v>
      </c>
      <c r="W22" s="51">
        <f t="shared" si="1"/>
        <v>86.412991954801797</v>
      </c>
      <c r="X22" s="51">
        <f t="shared" si="1"/>
        <v>86.412991954801797</v>
      </c>
      <c r="Y22" s="51">
        <f t="shared" si="1"/>
        <v>86.412991954801797</v>
      </c>
      <c r="Z22" s="51">
        <f t="shared" si="1"/>
        <v>86.412991954801797</v>
      </c>
      <c r="AA22" s="51">
        <f t="shared" si="1"/>
        <v>86.412991954801797</v>
      </c>
      <c r="AB22" s="51">
        <f t="shared" si="1"/>
        <v>86.412991954801797</v>
      </c>
      <c r="AC22" s="51">
        <f t="shared" si="1"/>
        <v>86.412991954801797</v>
      </c>
      <c r="AD22" s="51">
        <f t="shared" si="1"/>
        <v>86.412991954801797</v>
      </c>
      <c r="AE22" s="51">
        <f t="shared" si="1"/>
        <v>86.412991954801797</v>
      </c>
      <c r="AF22" s="51">
        <f t="shared" si="1"/>
        <v>86.412991954801797</v>
      </c>
      <c r="AG22" s="51">
        <f t="shared" si="1"/>
        <v>86.412991954801797</v>
      </c>
      <c r="AH22" s="51">
        <f t="shared" si="1"/>
        <v>86.412991954801797</v>
      </c>
      <c r="AI22" s="51">
        <f t="shared" si="1"/>
        <v>86.412991954801797</v>
      </c>
      <c r="AJ22" s="1739">
        <f t="shared" si="1"/>
        <v>86.412991954801797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customHeight="1" outlineLevel="1" x14ac:dyDescent="0.25">
      <c r="A23" s="1823"/>
      <c r="B23" s="1793"/>
      <c r="C23" s="1838">
        <f>C21*1000000/C16</f>
        <v>53.222800512828414</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customHeight="1" outlineLevel="1" x14ac:dyDescent="0.25">
      <c r="A27" s="1823">
        <f>C27*1000000/$C$16</f>
        <v>103.35089577283267</v>
      </c>
      <c r="B27" s="1794" t="str">
        <f>'C-FCL Real'!B148</f>
        <v>Dados de Receitas Diretas</v>
      </c>
      <c r="C27" s="1809">
        <f>SUMIF($D$15:$BG$15,1,D27:BG27)</f>
        <v>6067.5001220938402</v>
      </c>
      <c r="D27" s="1804">
        <f>'C-FCL Real'!C148-D30</f>
        <v>161.22739740561892</v>
      </c>
      <c r="E27" s="51">
        <f>'C-FCL Real'!D148-E30</f>
        <v>161.98516617342534</v>
      </c>
      <c r="F27" s="51">
        <f>'C-FCL Real'!E148-F30</f>
        <v>162.7464964544404</v>
      </c>
      <c r="G27" s="51">
        <f>'C-FCL Real'!F148-G30</f>
        <v>163.51140498777625</v>
      </c>
      <c r="H27" s="51">
        <f>'C-FCL Real'!G148-H30</f>
        <v>164.2799085912188</v>
      </c>
      <c r="I27" s="51">
        <f>'C-FCL Real'!H148-I30</f>
        <v>165.05202416159756</v>
      </c>
      <c r="J27" s="51">
        <f>'C-FCL Real'!I148-J30</f>
        <v>165.82776867515702</v>
      </c>
      <c r="K27" s="51">
        <f>'C-FCL Real'!J148-K30</f>
        <v>166.60715918793022</v>
      </c>
      <c r="L27" s="51">
        <f>'C-FCL Real'!K148-L30</f>
        <v>167.39021283611348</v>
      </c>
      <c r="M27" s="51">
        <f>'C-FCL Real'!L148-M30</f>
        <v>168.17694683644325</v>
      </c>
      <c r="N27" s="51">
        <f>'C-FCL Real'!M148-N30</f>
        <v>168.96737848657449</v>
      </c>
      <c r="O27" s="51">
        <f>'C-FCL Real'!N148-O30</f>
        <v>169.76152516546139</v>
      </c>
      <c r="P27" s="51">
        <f>'C-FCL Real'!O148-P30</f>
        <v>170.55940433373905</v>
      </c>
      <c r="Q27" s="51">
        <f>'C-FCL Real'!P148-Q30</f>
        <v>171.36103353410761</v>
      </c>
      <c r="R27" s="51">
        <f>'C-FCL Real'!Q148-R30</f>
        <v>172.16643039171788</v>
      </c>
      <c r="S27" s="51">
        <f>'C-FCL Real'!O148-S30</f>
        <v>170.55940433373905</v>
      </c>
      <c r="T27" s="51">
        <f>'C-FCL Real'!P148-T30</f>
        <v>171.36103353410761</v>
      </c>
      <c r="U27" s="51">
        <f>'C-FCL Real'!Q148-U30</f>
        <v>172.16643039171788</v>
      </c>
      <c r="V27" s="51">
        <f>'C-FCL Real'!R148-V30</f>
        <v>172.97561261455894</v>
      </c>
      <c r="W27" s="51">
        <f>'C-FCL Real'!S148-W30</f>
        <v>173.78859799384733</v>
      </c>
      <c r="X27" s="51">
        <f>'C-FCL Real'!T148-X30</f>
        <v>174.60540440441844</v>
      </c>
      <c r="Y27" s="51">
        <f>'C-FCL Real'!U148-Y30</f>
        <v>175.42604980511919</v>
      </c>
      <c r="Z27" s="51">
        <f>'C-FCL Real'!V148-Z30</f>
        <v>176.25055223920322</v>
      </c>
      <c r="AA27" s="51">
        <f>'C-FCL Real'!W148-AA30</f>
        <v>177.07892983472749</v>
      </c>
      <c r="AB27" s="51">
        <f>'C-FCL Real'!X148-AB30</f>
        <v>177.91120080495068</v>
      </c>
      <c r="AC27" s="51">
        <f>'C-FCL Real'!Y148-AC30</f>
        <v>178.74738344873393</v>
      </c>
      <c r="AD27" s="51">
        <f>'C-FCL Real'!Z148-AD30</f>
        <v>179.58749615094297</v>
      </c>
      <c r="AE27" s="51">
        <f>'C-FCL Real'!AA148-AE30</f>
        <v>180.43155738285242</v>
      </c>
      <c r="AF27" s="51">
        <f>'C-FCL Real'!AB148-AF30</f>
        <v>181.27958570255177</v>
      </c>
      <c r="AG27" s="51">
        <f>'C-FCL Real'!AC148-AG30</f>
        <v>182.13159975535379</v>
      </c>
      <c r="AH27" s="51">
        <f>'C-FCL Real'!AD148-AH30</f>
        <v>182.98761827420392</v>
      </c>
      <c r="AI27" s="51">
        <f>'C-FCL Real'!AE148-AI30</f>
        <v>183.84766008009271</v>
      </c>
      <c r="AJ27" s="1739">
        <f>'C-FCL Real'!AF148-AJ30</f>
        <v>184.7117440824691</v>
      </c>
      <c r="AK27" s="51">
        <f>'C-FCL Real'!AG148-AK30</f>
        <v>185.57988927965667</v>
      </c>
      <c r="AL27" s="51">
        <f>'C-FCL Real'!AH148-AL30</f>
        <v>186.45211475927107</v>
      </c>
      <c r="AM27" s="51">
        <f>'C-FCL Real'!AI148-AM30</f>
        <v>187.32843969863964</v>
      </c>
      <c r="AN27" s="51">
        <f>'C-FCL Real'!AJ148-AN30</f>
        <v>188.20888336522319</v>
      </c>
      <c r="AO27" s="51">
        <f>'C-FCL Real'!AK148-AO30</f>
        <v>189.09346511703973</v>
      </c>
      <c r="AP27" s="51">
        <f>'C-FCL Real'!AL148-AP30</f>
        <v>189.98220440308978</v>
      </c>
      <c r="AQ27" s="51">
        <f>'C-FCL Real'!AM148-AQ30</f>
        <v>190.87512076378431</v>
      </c>
      <c r="AR27" s="51">
        <f>'C-FCL Real'!AN148-AR30</f>
        <v>191.77223383137411</v>
      </c>
      <c r="AS27" s="51">
        <f>'C-FCL Real'!AO148-AS30</f>
        <v>192.67356333038154</v>
      </c>
      <c r="AT27" s="51">
        <f>'C-FCL Real'!AP148-AT30</f>
        <v>193.57912907803433</v>
      </c>
      <c r="AU27" s="51">
        <f>'C-FCL Real'!AQ148-AU30</f>
        <v>194.48895098470106</v>
      </c>
      <c r="AV27" s="51">
        <f>'C-FCL Real'!AR148-AV30</f>
        <v>195.40304905432916</v>
      </c>
      <c r="AW27" s="51">
        <f>'C-FCL Real'!AS148-AW30</f>
        <v>196.32144338488447</v>
      </c>
      <c r="AX27" s="51">
        <f>'C-FCL Real'!AT148-AX30</f>
        <v>197.24415416879344</v>
      </c>
      <c r="AY27" s="51">
        <f>'C-FCL Real'!AU148-AY30</f>
        <v>198.17120169338673</v>
      </c>
      <c r="AZ27" s="51">
        <f>'C-FCL Real'!AV148-AZ30</f>
        <v>199.10260634134565</v>
      </c>
      <c r="BA27" s="51">
        <f>'C-FCL Real'!AW148-BA30</f>
        <v>200.03838859114995</v>
      </c>
      <c r="BB27" s="51">
        <f>'C-FCL Real'!AX148-BB30</f>
        <v>200.97856901752834</v>
      </c>
      <c r="BC27" s="51">
        <f>'C-FCL Real'!AY148-BC30</f>
        <v>201.92316829191074</v>
      </c>
      <c r="BD27" s="51">
        <f>'C-FCL Real'!AZ148-BD30</f>
        <v>202.8722071828827</v>
      </c>
      <c r="BE27" s="51">
        <f>'C-FCL Real'!BA148-BE30</f>
        <v>203.82570655664225</v>
      </c>
      <c r="BF27" s="51">
        <f>'C-FCL Real'!BB148-BF30</f>
        <v>204.78368737745842</v>
      </c>
      <c r="BG27" s="51">
        <f>'C-FCL Real'!BC148-BG30</f>
        <v>205.74617070813244</v>
      </c>
      <c r="BH27" s="51">
        <f>'C-FCL Real'!BD148-BH30</f>
        <v>0</v>
      </c>
    </row>
    <row r="28" spans="1:60" ht="15" customHeight="1" outlineLevel="1" x14ac:dyDescent="0.25">
      <c r="A28" s="1823">
        <f>C28*1000000/$C$16</f>
        <v>88.507189050046321</v>
      </c>
      <c r="B28" s="1847" t="s">
        <v>1010</v>
      </c>
      <c r="C28" s="1808">
        <f>SUMIF($D$15:$BG$15,1,D28:BG28)</f>
        <v>5196.059273135993</v>
      </c>
      <c r="D28" s="1804">
        <f t="shared" ref="D28:AJ28" si="3">NPV($C$8,D27:D27)</f>
        <v>147.09012428975748</v>
      </c>
      <c r="E28" s="51">
        <f t="shared" si="3"/>
        <v>147.78144787391935</v>
      </c>
      <c r="F28" s="51">
        <f t="shared" si="3"/>
        <v>148.47602067892674</v>
      </c>
      <c r="G28" s="51">
        <f t="shared" si="3"/>
        <v>149.17385797611766</v>
      </c>
      <c r="H28" s="51">
        <f t="shared" si="3"/>
        <v>149.87497510860541</v>
      </c>
      <c r="I28" s="51">
        <f t="shared" si="3"/>
        <v>150.5793874916159</v>
      </c>
      <c r="J28" s="51">
        <f t="shared" si="3"/>
        <v>151.28711061282644</v>
      </c>
      <c r="K28" s="51">
        <f t="shared" si="3"/>
        <v>151.99816003270669</v>
      </c>
      <c r="L28" s="51">
        <f t="shared" si="3"/>
        <v>152.7125513848604</v>
      </c>
      <c r="M28" s="51">
        <f t="shared" si="3"/>
        <v>153.43030037636927</v>
      </c>
      <c r="N28" s="51">
        <f t="shared" si="3"/>
        <v>154.15142278813818</v>
      </c>
      <c r="O28" s="51">
        <f t="shared" si="3"/>
        <v>154.87593447524245</v>
      </c>
      <c r="P28" s="51">
        <f t="shared" si="3"/>
        <v>155.60385136727606</v>
      </c>
      <c r="Q28" s="51">
        <f t="shared" si="3"/>
        <v>156.33518946870225</v>
      </c>
      <c r="R28" s="51">
        <f t="shared" si="3"/>
        <v>157.06996485920513</v>
      </c>
      <c r="S28" s="51">
        <f t="shared" si="3"/>
        <v>155.60385136727606</v>
      </c>
      <c r="T28" s="51">
        <f t="shared" si="3"/>
        <v>156.33518946870225</v>
      </c>
      <c r="U28" s="51">
        <f t="shared" si="3"/>
        <v>157.06996485920513</v>
      </c>
      <c r="V28" s="51">
        <f t="shared" si="3"/>
        <v>157.80819369404335</v>
      </c>
      <c r="W28" s="51">
        <f t="shared" si="3"/>
        <v>158.54989220440535</v>
      </c>
      <c r="X28" s="51">
        <f t="shared" si="3"/>
        <v>159.29507669776606</v>
      </c>
      <c r="Y28" s="51">
        <f t="shared" si="3"/>
        <v>160.04376355824556</v>
      </c>
      <c r="Z28" s="51">
        <f t="shared" si="3"/>
        <v>160.79596924696926</v>
      </c>
      <c r="AA28" s="51">
        <f t="shared" si="3"/>
        <v>161.55171030243005</v>
      </c>
      <c r="AB28" s="51">
        <f t="shared" si="3"/>
        <v>162.31100334085144</v>
      </c>
      <c r="AC28" s="51">
        <f t="shared" si="3"/>
        <v>163.07386505655342</v>
      </c>
      <c r="AD28" s="51">
        <f t="shared" si="3"/>
        <v>163.84031222231923</v>
      </c>
      <c r="AE28" s="51">
        <f t="shared" si="3"/>
        <v>164.61036168976415</v>
      </c>
      <c r="AF28" s="51">
        <f t="shared" si="3"/>
        <v>165.38403038970597</v>
      </c>
      <c r="AG28" s="51">
        <f t="shared" si="3"/>
        <v>166.16133533253762</v>
      </c>
      <c r="AH28" s="51">
        <f t="shared" si="3"/>
        <v>166.94229360860052</v>
      </c>
      <c r="AI28" s="51">
        <f t="shared" si="3"/>
        <v>167.72692238856098</v>
      </c>
      <c r="AJ28" s="1739">
        <f t="shared" si="3"/>
        <v>168.51523892378717</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customHeight="1" outlineLevel="1" x14ac:dyDescent="0.25">
      <c r="A30" s="1823">
        <f>C30*1000000/$C$16</f>
        <v>0.49175276047352623</v>
      </c>
      <c r="B30" s="1794" t="str">
        <f>'C-FCL Real'!B149</f>
        <v>Receita do Ente Público pela disposição do RPU</v>
      </c>
      <c r="C30" s="1809">
        <f>SUMIF($D$15:$BG$15,1,D30:BG30)</f>
        <v>28.869705597630787</v>
      </c>
      <c r="D30" s="1804">
        <f>'C-FCL Real'!C149</f>
        <v>0.76713430633870072</v>
      </c>
      <c r="E30" s="51">
        <f>'C-FCL Real'!D149</f>
        <v>0.77073983757849251</v>
      </c>
      <c r="F30" s="51">
        <f>'C-FCL Real'!E149</f>
        <v>0.77436231481511142</v>
      </c>
      <c r="G30" s="51">
        <f>'C-FCL Real'!F149</f>
        <v>0.77800181769474241</v>
      </c>
      <c r="H30" s="51">
        <f>'C-FCL Real'!G149</f>
        <v>0.7816584262379076</v>
      </c>
      <c r="I30" s="51">
        <f>'C-FCL Real'!H149</f>
        <v>0.78533222084122567</v>
      </c>
      <c r="J30" s="51">
        <f>'C-FCL Real'!I149</f>
        <v>0.78902328227917939</v>
      </c>
      <c r="K30" s="51">
        <f>'C-FCL Real'!J149</f>
        <v>0.79273169170589153</v>
      </c>
      <c r="L30" s="51">
        <f>'C-FCL Real'!K149</f>
        <v>0.79645753065690916</v>
      </c>
      <c r="M30" s="51">
        <f>'C-FCL Real'!L149</f>
        <v>0.80020088105099663</v>
      </c>
      <c r="N30" s="51">
        <f>'C-FCL Real'!M149</f>
        <v>0.80396182519193626</v>
      </c>
      <c r="O30" s="51">
        <f>'C-FCL Real'!N149</f>
        <v>0.80774044577033832</v>
      </c>
      <c r="P30" s="51">
        <f>'C-FCL Real'!O149</f>
        <v>0.81153682586545883</v>
      </c>
      <c r="Q30" s="51">
        <f>'C-FCL Real'!P149</f>
        <v>0.81535104894702648</v>
      </c>
      <c r="R30" s="51">
        <f>'C-FCL Real'!Q149</f>
        <v>0.81918319887707747</v>
      </c>
      <c r="S30" s="51">
        <f>'C-FCL Real'!O149</f>
        <v>0.81153682586545883</v>
      </c>
      <c r="T30" s="51">
        <f>'C-FCL Real'!P149</f>
        <v>0.81535104894702648</v>
      </c>
      <c r="U30" s="51">
        <f>'C-FCL Real'!Q149</f>
        <v>0.81918319887707747</v>
      </c>
      <c r="V30" s="51">
        <f>'C-FCL Real'!R149</f>
        <v>0.82303335991179971</v>
      </c>
      <c r="W30" s="51">
        <f>'C-FCL Real'!S149</f>
        <v>0.82690161670338513</v>
      </c>
      <c r="X30" s="51">
        <f>'C-FCL Real'!T149</f>
        <v>0.83078805430189095</v>
      </c>
      <c r="Y30" s="51">
        <f>'C-FCL Real'!U149</f>
        <v>0.83469275815710975</v>
      </c>
      <c r="Z30" s="51">
        <f>'C-FCL Real'!V149</f>
        <v>0.83861581412044806</v>
      </c>
      <c r="AA30" s="51">
        <f>'C-FCL Real'!W149</f>
        <v>0.84255730844681409</v>
      </c>
      <c r="AB30" s="51">
        <f>'C-FCL Real'!X149</f>
        <v>0.84651732779651401</v>
      </c>
      <c r="AC30" s="51">
        <f>'C-FCL Real'!Y149</f>
        <v>0.85049595923715759</v>
      </c>
      <c r="AD30" s="51">
        <f>'C-FCL Real'!Z149</f>
        <v>0.85449329024557219</v>
      </c>
      <c r="AE30" s="51">
        <f>'C-FCL Real'!AA149</f>
        <v>0.85850940870972636</v>
      </c>
      <c r="AF30" s="51">
        <f>'C-FCL Real'!AB149</f>
        <v>0.86254440293066204</v>
      </c>
      <c r="AG30" s="51">
        <f>'C-FCL Real'!AC149</f>
        <v>0.86659836162443604</v>
      </c>
      <c r="AH30" s="51">
        <f>'C-FCL Real'!AD149</f>
        <v>0.87067137392407079</v>
      </c>
      <c r="AI30" s="51">
        <f>'C-FCL Real'!AE149</f>
        <v>0.8747635293815138</v>
      </c>
      <c r="AJ30" s="1739">
        <f>'C-FCL Real'!AF149</f>
        <v>0.87887491796960682</v>
      </c>
      <c r="AK30" s="51">
        <f>'C-FCL Real'!AG149</f>
        <v>0.88300563008406385</v>
      </c>
      <c r="AL30" s="51">
        <f>'C-FCL Real'!AH149</f>
        <v>0.88715575654545886</v>
      </c>
      <c r="AM30" s="51">
        <f>'C-FCL Real'!AI149</f>
        <v>0.89132538860122246</v>
      </c>
      <c r="AN30" s="51">
        <f>'C-FCL Real'!AJ149</f>
        <v>0.89551461792764808</v>
      </c>
      <c r="AO30" s="51">
        <f>'C-FCL Real'!AK149</f>
        <v>0.89972353663190796</v>
      </c>
      <c r="AP30" s="51">
        <f>'C-FCL Real'!AL149</f>
        <v>0.90395223725407792</v>
      </c>
      <c r="AQ30" s="51">
        <f>'C-FCL Real'!AM149</f>
        <v>0.90820081276917197</v>
      </c>
      <c r="AR30" s="51">
        <f>'C-FCL Real'!AN149</f>
        <v>0.91246935658918704</v>
      </c>
      <c r="AS30" s="51">
        <f>'C-FCL Real'!AO149</f>
        <v>0.91675796256515618</v>
      </c>
      <c r="AT30" s="51">
        <f>'C-FCL Real'!AP149</f>
        <v>0.92106672498921238</v>
      </c>
      <c r="AU30" s="51">
        <f>'C-FCL Real'!AQ149</f>
        <v>0.92539573859666158</v>
      </c>
      <c r="AV30" s="51">
        <f>'C-FCL Real'!AR149</f>
        <v>0.92974509856806586</v>
      </c>
      <c r="AW30" s="51">
        <f>'C-FCL Real'!AS149</f>
        <v>0.93411490053133572</v>
      </c>
      <c r="AX30" s="51">
        <f>'C-FCL Real'!AT149</f>
        <v>0.93850524056383289</v>
      </c>
      <c r="AY30" s="51">
        <f>'C-FCL Real'!AU149</f>
        <v>0.94291621519448288</v>
      </c>
      <c r="AZ30" s="51">
        <f>'C-FCL Real'!AV149</f>
        <v>0.94734792140589685</v>
      </c>
      <c r="BA30" s="51">
        <f>'C-FCL Real'!AW149</f>
        <v>0.95180045663650448</v>
      </c>
      <c r="BB30" s="51">
        <f>'C-FCL Real'!AX149</f>
        <v>0.95627391878269596</v>
      </c>
      <c r="BC30" s="51">
        <f>'C-FCL Real'!AY149</f>
        <v>0.96076840620097459</v>
      </c>
      <c r="BD30" s="51">
        <f>'C-FCL Real'!AZ149</f>
        <v>0.96528401771011907</v>
      </c>
      <c r="BE30" s="51">
        <f>'C-FCL Real'!BA149</f>
        <v>0.9698208525933566</v>
      </c>
      <c r="BF30" s="51">
        <f>'C-FCL Real'!BB149</f>
        <v>0.97437901060054533</v>
      </c>
      <c r="BG30" s="51">
        <f>'C-FCL Real'!BC149</f>
        <v>0.97895859195036783</v>
      </c>
      <c r="BH30" s="51">
        <f>'C-FCL Real'!BD149</f>
        <v>0</v>
      </c>
    </row>
    <row r="31" spans="1:60" ht="15" customHeight="1" outlineLevel="1" x14ac:dyDescent="0.25">
      <c r="A31" s="1823">
        <f>C31*1000000/$C$16</f>
        <v>0.42112508277410959</v>
      </c>
      <c r="B31" s="1847" t="s">
        <v>1011</v>
      </c>
      <c r="C31" s="1808">
        <f>SUMIF($D$15:$BG$15,1,D31:BG31)</f>
        <v>24.723312478732819</v>
      </c>
      <c r="D31" s="1804">
        <f t="shared" ref="D31:AJ31" si="4">NPV($C$8,D30:D30)</f>
        <v>0.69986790261469467</v>
      </c>
      <c r="E31" s="51">
        <f t="shared" si="4"/>
        <v>0.70315728175698367</v>
      </c>
      <c r="F31" s="51">
        <f t="shared" si="4"/>
        <v>0.70646212098124139</v>
      </c>
      <c r="G31" s="51">
        <f t="shared" si="4"/>
        <v>0.70978249294985329</v>
      </c>
      <c r="H31" s="51">
        <f t="shared" si="4"/>
        <v>0.71311847066671741</v>
      </c>
      <c r="I31" s="51">
        <f t="shared" si="4"/>
        <v>0.71647012747885097</v>
      </c>
      <c r="J31" s="51">
        <f t="shared" si="4"/>
        <v>0.71983753707800147</v>
      </c>
      <c r="K31" s="51">
        <f t="shared" si="4"/>
        <v>0.7232207735022681</v>
      </c>
      <c r="L31" s="51">
        <f t="shared" si="4"/>
        <v>0.72661991113772872</v>
      </c>
      <c r="M31" s="51">
        <f t="shared" si="4"/>
        <v>0.73003502472007609</v>
      </c>
      <c r="N31" s="51">
        <f t="shared" si="4"/>
        <v>0.7334661893362604</v>
      </c>
      <c r="O31" s="51">
        <f t="shared" si="4"/>
        <v>0.73691348042614069</v>
      </c>
      <c r="P31" s="51">
        <f t="shared" si="4"/>
        <v>0.74037697378414358</v>
      </c>
      <c r="Q31" s="51">
        <f t="shared" si="4"/>
        <v>0.74385674556092896</v>
      </c>
      <c r="R31" s="51">
        <f t="shared" si="4"/>
        <v>0.7473528722650653</v>
      </c>
      <c r="S31" s="51">
        <f t="shared" si="4"/>
        <v>0.74037697378414358</v>
      </c>
      <c r="T31" s="51">
        <f t="shared" si="4"/>
        <v>0.74385674556092896</v>
      </c>
      <c r="U31" s="51">
        <f t="shared" si="4"/>
        <v>0.7473528722650653</v>
      </c>
      <c r="V31" s="51">
        <f t="shared" si="4"/>
        <v>0.75086543076471113</v>
      </c>
      <c r="W31" s="51">
        <f t="shared" si="4"/>
        <v>0.75439449828930527</v>
      </c>
      <c r="X31" s="51">
        <f t="shared" si="4"/>
        <v>0.75794015243126489</v>
      </c>
      <c r="Y31" s="51">
        <f t="shared" si="4"/>
        <v>0.76150247114769176</v>
      </c>
      <c r="Z31" s="51">
        <f t="shared" si="4"/>
        <v>0.76508153276208579</v>
      </c>
      <c r="AA31" s="51">
        <f t="shared" si="4"/>
        <v>0.76867741596606753</v>
      </c>
      <c r="AB31" s="51">
        <f t="shared" si="4"/>
        <v>0.77229019982110791</v>
      </c>
      <c r="AC31" s="51">
        <f t="shared" si="4"/>
        <v>0.77591996376026717</v>
      </c>
      <c r="AD31" s="51">
        <f t="shared" si="4"/>
        <v>0.77956678758994036</v>
      </c>
      <c r="AE31" s="51">
        <f t="shared" si="4"/>
        <v>0.78323075149161303</v>
      </c>
      <c r="AF31" s="51">
        <f t="shared" si="4"/>
        <v>0.78691193602362364</v>
      </c>
      <c r="AG31" s="51">
        <f t="shared" si="4"/>
        <v>0.79061042212293453</v>
      </c>
      <c r="AH31" s="51">
        <f t="shared" si="4"/>
        <v>0.79432629110691222</v>
      </c>
      <c r="AI31" s="51">
        <f t="shared" si="4"/>
        <v>0.7980596246751146</v>
      </c>
      <c r="AJ31" s="1739">
        <f t="shared" si="4"/>
        <v>0.80181050491108752</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customHeight="1" outlineLevel="1" x14ac:dyDescent="0.25">
      <c r="A33" s="1823">
        <f>C33*1000000/$C$16</f>
        <v>29.392308910972023</v>
      </c>
      <c r="B33" s="1794" t="s">
        <v>1004</v>
      </c>
      <c r="C33" s="1809">
        <f>SUMIF($D$15:$BG$15,1,D33:BG33)</f>
        <v>1725.5567701893244</v>
      </c>
      <c r="D33" s="1804">
        <f>'C-FCL Real'!C153</f>
        <v>-155.96325982791137</v>
      </c>
      <c r="E33" s="51">
        <f>'C-FCL Real'!D153</f>
        <v>-444.66495527748197</v>
      </c>
      <c r="F33" s="51">
        <f>'C-FCL Real'!E153</f>
        <v>-250.92462268681905</v>
      </c>
      <c r="G33" s="51">
        <f>'C-FCL Real'!F153</f>
        <v>69.571002954917319</v>
      </c>
      <c r="H33" s="51">
        <f>'C-FCL Real'!G153</f>
        <v>70.343163166903039</v>
      </c>
      <c r="I33" s="51">
        <f>'C-FCL Real'!H153</f>
        <v>71.118952531885114</v>
      </c>
      <c r="J33" s="51">
        <f>'C-FCL Real'!I153</f>
        <v>71.898388106882535</v>
      </c>
      <c r="K33" s="51">
        <f>'C-FCL Real'!J153</f>
        <v>72.681487029082447</v>
      </c>
      <c r="L33" s="51">
        <f>'C-FCL Real'!K153</f>
        <v>73.46826651621673</v>
      </c>
      <c r="M33" s="51">
        <f>'C-FCL Real'!L153</f>
        <v>74.258743866940577</v>
      </c>
      <c r="N33" s="51">
        <f>'C-FCL Real'!M153</f>
        <v>75.052936461212781</v>
      </c>
      <c r="O33" s="51">
        <f>'C-FCL Real'!N153</f>
        <v>75.850861760678086</v>
      </c>
      <c r="P33" s="51">
        <f>'C-FCL Real'!O153</f>
        <v>76.652537309050857</v>
      </c>
      <c r="Q33" s="51">
        <f>'C-FCL Real'!P153</f>
        <v>77.457980732500985</v>
      </c>
      <c r="R33" s="51">
        <f>'C-FCL Real'!Q153</f>
        <v>78.267209740041309</v>
      </c>
      <c r="S33" s="51">
        <f>'C-FCL Real'!O153</f>
        <v>76.652537309050857</v>
      </c>
      <c r="T33" s="51">
        <f>'C-FCL Real'!P153</f>
        <v>77.457980732500985</v>
      </c>
      <c r="U33" s="51">
        <f>'C-FCL Real'!Q153</f>
        <v>78.267209740041309</v>
      </c>
      <c r="V33" s="51">
        <f>'C-FCL Real'!R153</f>
        <v>79.080242123917074</v>
      </c>
      <c r="W33" s="51">
        <f>'C-FCL Real'!S153</f>
        <v>79.897095759997072</v>
      </c>
      <c r="X33" s="51">
        <f>'C-FCL Real'!T153</f>
        <v>80.717788608166657</v>
      </c>
      <c r="Y33" s="51">
        <f>'C-FCL Real'!U153</f>
        <v>81.542338712722639</v>
      </c>
      <c r="Z33" s="51">
        <f>'C-FCL Real'!V153</f>
        <v>82.370764202770019</v>
      </c>
      <c r="AA33" s="51">
        <f>'C-FCL Real'!W153</f>
        <v>83.203083292620661</v>
      </c>
      <c r="AB33" s="51">
        <f>'C-FCL Real'!X153</f>
        <v>84.03931428219353</v>
      </c>
      <c r="AC33" s="51">
        <f>'C-FCL Real'!Y153</f>
        <v>84.879475557417422</v>
      </c>
      <c r="AD33" s="51">
        <f>'C-FCL Real'!Z153</f>
        <v>85.723585590634897</v>
      </c>
      <c r="AE33" s="51">
        <f>'C-FCL Real'!AA153</f>
        <v>86.571662941008483</v>
      </c>
      <c r="AF33" s="51">
        <f>'C-FCL Real'!AB153</f>
        <v>87.423726254928781</v>
      </c>
      <c r="AG33" s="51">
        <f>'C-FCL Real'!AC153</f>
        <v>88.27979426642456</v>
      </c>
      <c r="AH33" s="51">
        <f>'C-FCL Real'!AD153</f>
        <v>89.139885797574337</v>
      </c>
      <c r="AI33" s="51">
        <f>'C-FCL Real'!AE153</f>
        <v>90.004019758920563</v>
      </c>
      <c r="AJ33" s="1739">
        <f>'C-FCL Real'!AF153</f>
        <v>90.872215149885037</v>
      </c>
      <c r="AK33" s="51">
        <f>'C-FCL Real'!AG153</f>
        <v>91.744491059187069</v>
      </c>
      <c r="AL33" s="51">
        <f>'C-FCL Real'!AH153</f>
        <v>92.620866665262881</v>
      </c>
      <c r="AM33" s="51">
        <f>'C-FCL Real'!AI153</f>
        <v>93.501361236687202</v>
      </c>
      <c r="AN33" s="51">
        <f>'C-FCL Real'!AJ153</f>
        <v>94.38599413259719</v>
      </c>
      <c r="AO33" s="51">
        <f>'C-FCL Real'!AK153</f>
        <v>95.274784803117981</v>
      </c>
      <c r="AP33" s="51">
        <f>'C-FCL Real'!AL153</f>
        <v>96.167752789790214</v>
      </c>
      <c r="AQ33" s="51">
        <f>'C-FCL Real'!AM153</f>
        <v>97.06491772599982</v>
      </c>
      <c r="AR33" s="51">
        <f>'C-FCL Real'!AN153</f>
        <v>97.966299337409637</v>
      </c>
      <c r="AS33" s="51">
        <f>'C-FCL Real'!AO153</f>
        <v>98.871917442393041</v>
      </c>
      <c r="AT33" s="51">
        <f>'C-FCL Real'!AP153</f>
        <v>99.781791952469874</v>
      </c>
      <c r="AU33" s="51">
        <f>'C-FCL Real'!AQ153</f>
        <v>100.69594287274406</v>
      </c>
      <c r="AV33" s="51">
        <f>'C-FCL Real'!AR153</f>
        <v>101.61439030234358</v>
      </c>
      <c r="AW33" s="51">
        <f>'C-FCL Real'!AS153</f>
        <v>102.53715443486216</v>
      </c>
      <c r="AX33" s="51">
        <f>'C-FCL Real'!AT153</f>
        <v>103.46425555880363</v>
      </c>
      <c r="AY33" s="51">
        <f>'C-FCL Real'!AU153</f>
        <v>104.39571405802756</v>
      </c>
      <c r="AZ33" s="51">
        <f>'C-FCL Real'!AV153</f>
        <v>105.3315504121979</v>
      </c>
      <c r="BA33" s="51">
        <f>'C-FCL Real'!AW153</f>
        <v>106.2717851972328</v>
      </c>
      <c r="BB33" s="51">
        <f>'C-FCL Real'!AX153</f>
        <v>107.21643908575739</v>
      </c>
      <c r="BC33" s="51">
        <f>'C-FCL Real'!AY153</f>
        <v>108.16553284755805</v>
      </c>
      <c r="BD33" s="51">
        <f>'C-FCL Real'!AZ153</f>
        <v>109.11908735003918</v>
      </c>
      <c r="BE33" s="51">
        <f>'C-FCL Real'!BA153</f>
        <v>110.07712355868195</v>
      </c>
      <c r="BF33" s="51">
        <f>'C-FCL Real'!BB153</f>
        <v>111.03966253750532</v>
      </c>
      <c r="BG33" s="51">
        <f>'C-FCL Real'!BC153</f>
        <v>112.00672544952916</v>
      </c>
      <c r="BH33" s="51">
        <f>'C-FCL Real'!BD153</f>
        <v>0</v>
      </c>
    </row>
    <row r="34" spans="1:60" ht="15" customHeight="1" outlineLevel="1" x14ac:dyDescent="0.25">
      <c r="A34" s="1823">
        <f>C34*1000000/$C$16</f>
        <v>23.950010232332129</v>
      </c>
      <c r="B34" s="1847" t="s">
        <v>1012</v>
      </c>
      <c r="C34" s="1808">
        <f>SUMIF($D$15:$BG$15,1,D34:BG34)</f>
        <v>1406.0515772232193</v>
      </c>
      <c r="D34" s="1804">
        <f t="shared" ref="D34:AJ34" si="5">NPV($C$8,D33:D33)</f>
        <v>-142.2875742080528</v>
      </c>
      <c r="E34" s="51">
        <f t="shared" si="5"/>
        <v>-405.67437415438189</v>
      </c>
      <c r="F34" s="51">
        <f t="shared" si="5"/>
        <v>-228.92222123706139</v>
      </c>
      <c r="G34" s="51">
        <f t="shared" si="5"/>
        <v>63.470648514265704</v>
      </c>
      <c r="H34" s="51">
        <f t="shared" si="5"/>
        <v>64.175101624470329</v>
      </c>
      <c r="I34" s="51">
        <f t="shared" si="5"/>
        <v>64.882865664292936</v>
      </c>
      <c r="J34" s="51">
        <f t="shared" si="5"/>
        <v>65.593956195102649</v>
      </c>
      <c r="K34" s="51">
        <f t="shared" si="5"/>
        <v>66.308388851407159</v>
      </c>
      <c r="L34" s="51">
        <f t="shared" si="5"/>
        <v>67.02617934119634</v>
      </c>
      <c r="M34" s="51">
        <f t="shared" si="5"/>
        <v>67.747343446287545</v>
      </c>
      <c r="N34" s="51">
        <f t="shared" si="5"/>
        <v>68.47189702267265</v>
      </c>
      <c r="O34" s="51">
        <f t="shared" si="5"/>
        <v>69.199856000866788</v>
      </c>
      <c r="P34" s="51">
        <f t="shared" si="5"/>
        <v>69.931236386258405</v>
      </c>
      <c r="Q34" s="51">
        <f t="shared" si="5"/>
        <v>70.666054259461376</v>
      </c>
      <c r="R34" s="51">
        <f t="shared" si="5"/>
        <v>71.404325776668387</v>
      </c>
      <c r="S34" s="51">
        <f t="shared" si="5"/>
        <v>69.931236386258405</v>
      </c>
      <c r="T34" s="51">
        <f t="shared" si="5"/>
        <v>70.666054259461376</v>
      </c>
      <c r="U34" s="51">
        <f t="shared" si="5"/>
        <v>71.404325776668387</v>
      </c>
      <c r="V34" s="51">
        <f t="shared" si="5"/>
        <v>72.146067170006276</v>
      </c>
      <c r="W34" s="51">
        <f t="shared" si="5"/>
        <v>72.891294747892857</v>
      </c>
      <c r="X34" s="51">
        <f t="shared" si="5"/>
        <v>73.640024895395513</v>
      </c>
      <c r="Y34" s="51">
        <f t="shared" si="5"/>
        <v>74.392274074591441</v>
      </c>
      <c r="Z34" s="51">
        <f t="shared" si="5"/>
        <v>75.148058824929578</v>
      </c>
      <c r="AA34" s="51">
        <f t="shared" si="5"/>
        <v>75.907395763594323</v>
      </c>
      <c r="AB34" s="51">
        <f t="shared" si="5"/>
        <v>76.670301585870746</v>
      </c>
      <c r="AC34" s="51">
        <f t="shared" si="5"/>
        <v>77.436793065511893</v>
      </c>
      <c r="AD34" s="51">
        <f t="shared" si="5"/>
        <v>78.206887055107373</v>
      </c>
      <c r="AE34" s="51">
        <f t="shared" si="5"/>
        <v>78.980600486453937</v>
      </c>
      <c r="AF34" s="51">
        <f t="shared" si="5"/>
        <v>79.757950370927801</v>
      </c>
      <c r="AG34" s="51">
        <f t="shared" si="5"/>
        <v>80.538953799858746</v>
      </c>
      <c r="AH34" s="51">
        <f t="shared" si="5"/>
        <v>81.323627944905624</v>
      </c>
      <c r="AI34" s="51">
        <f t="shared" si="5"/>
        <v>82.111990058434273</v>
      </c>
      <c r="AJ34" s="1739">
        <f t="shared" si="5"/>
        <v>82.904057473896444</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customHeight="1" outlineLevel="1" x14ac:dyDescent="0.25">
      <c r="A36" s="1823">
        <f>C36*1000000/$C$16</f>
        <v>14.925065938892073</v>
      </c>
      <c r="B36" s="1795" t="s">
        <v>1014</v>
      </c>
      <c r="C36" s="1809">
        <f>SUMIF($D$15:$BG$15,1,D36:BG36)</f>
        <v>876.21726671372267</v>
      </c>
      <c r="D36" s="1804">
        <f>IF(D33&gt;0,D33*0.34,0)</f>
        <v>0</v>
      </c>
      <c r="E36" s="51">
        <f t="shared" ref="E36:BG36" si="6">IF(E33&gt;0,E33*0.34,0)</f>
        <v>0</v>
      </c>
      <c r="F36" s="51">
        <f t="shared" si="6"/>
        <v>0</v>
      </c>
      <c r="G36" s="51">
        <f t="shared" si="6"/>
        <v>23.654141004671889</v>
      </c>
      <c r="H36" s="51">
        <f t="shared" si="6"/>
        <v>23.916675476747034</v>
      </c>
      <c r="I36" s="51">
        <f t="shared" si="6"/>
        <v>24.180443860840942</v>
      </c>
      <c r="J36" s="51">
        <f t="shared" si="6"/>
        <v>24.445451956340065</v>
      </c>
      <c r="K36" s="51">
        <f t="shared" si="6"/>
        <v>24.711705589888034</v>
      </c>
      <c r="L36" s="51">
        <f t="shared" si="6"/>
        <v>24.97921061551369</v>
      </c>
      <c r="M36" s="51">
        <f t="shared" si="6"/>
        <v>25.247972914759799</v>
      </c>
      <c r="N36" s="51">
        <f t="shared" si="6"/>
        <v>25.517998396812349</v>
      </c>
      <c r="O36" s="51">
        <f t="shared" si="6"/>
        <v>25.78929299863055</v>
      </c>
      <c r="P36" s="51">
        <f>IF(P33&gt;0,P33*0.34,0)</f>
        <v>26.061862685077294</v>
      </c>
      <c r="Q36" s="51">
        <f>IF(Q33&gt;0,Q33*0.34,0)</f>
        <v>26.335713449050338</v>
      </c>
      <c r="R36" s="51">
        <f>IF(R33&gt;0,R33*0.34,0)</f>
        <v>26.610851311614049</v>
      </c>
      <c r="S36" s="51">
        <f t="shared" si="6"/>
        <v>26.061862685077294</v>
      </c>
      <c r="T36" s="51">
        <f t="shared" si="6"/>
        <v>26.335713449050338</v>
      </c>
      <c r="U36" s="51">
        <f t="shared" si="6"/>
        <v>26.610851311614049</v>
      </c>
      <c r="V36" s="51">
        <f t="shared" si="6"/>
        <v>26.887282322131806</v>
      </c>
      <c r="W36" s="51">
        <f t="shared" si="6"/>
        <v>27.165012558399006</v>
      </c>
      <c r="X36" s="51">
        <f t="shared" si="6"/>
        <v>27.444048126776664</v>
      </c>
      <c r="Y36" s="51">
        <f t="shared" si="6"/>
        <v>27.724395162325699</v>
      </c>
      <c r="Z36" s="51">
        <f t="shared" si="6"/>
        <v>28.006059828941808</v>
      </c>
      <c r="AA36" s="51">
        <f t="shared" si="6"/>
        <v>28.289048319491027</v>
      </c>
      <c r="AB36" s="51">
        <f t="shared" si="6"/>
        <v>28.573366855945803</v>
      </c>
      <c r="AC36" s="51">
        <f t="shared" si="6"/>
        <v>28.859021689521924</v>
      </c>
      <c r="AD36" s="51">
        <f t="shared" si="6"/>
        <v>29.146019100815867</v>
      </c>
      <c r="AE36" s="51">
        <f t="shared" si="6"/>
        <v>29.434365399942887</v>
      </c>
      <c r="AF36" s="51">
        <f t="shared" si="6"/>
        <v>29.724066926675789</v>
      </c>
      <c r="AG36" s="51">
        <f t="shared" si="6"/>
        <v>30.015130050584354</v>
      </c>
      <c r="AH36" s="51">
        <f t="shared" si="6"/>
        <v>30.307561171175276</v>
      </c>
      <c r="AI36" s="51">
        <f t="shared" si="6"/>
        <v>30.601366718032995</v>
      </c>
      <c r="AJ36" s="1739">
        <f t="shared" si="6"/>
        <v>30.896553150960916</v>
      </c>
      <c r="AK36" s="51">
        <f t="shared" si="6"/>
        <v>31.193126960123607</v>
      </c>
      <c r="AL36" s="51">
        <f t="shared" si="6"/>
        <v>31.491094666189383</v>
      </c>
      <c r="AM36" s="51">
        <f t="shared" si="6"/>
        <v>31.79046282047365</v>
      </c>
      <c r="AN36" s="51">
        <f t="shared" si="6"/>
        <v>32.091238005083049</v>
      </c>
      <c r="AO36" s="51">
        <f t="shared" si="6"/>
        <v>32.393426833060118</v>
      </c>
      <c r="AP36" s="51">
        <f t="shared" si="6"/>
        <v>32.697035948528672</v>
      </c>
      <c r="AQ36" s="51">
        <f t="shared" si="6"/>
        <v>33.00207202683994</v>
      </c>
      <c r="AR36" s="51">
        <f t="shared" si="6"/>
        <v>33.308541774719281</v>
      </c>
      <c r="AS36" s="51">
        <f t="shared" si="6"/>
        <v>33.616451930413639</v>
      </c>
      <c r="AT36" s="51">
        <f t="shared" si="6"/>
        <v>33.92580926383976</v>
      </c>
      <c r="AU36" s="51">
        <f t="shared" si="6"/>
        <v>34.236620576732982</v>
      </c>
      <c r="AV36" s="51">
        <f t="shared" si="6"/>
        <v>34.54889270279682</v>
      </c>
      <c r="AW36" s="51">
        <f t="shared" si="6"/>
        <v>34.862632507853135</v>
      </c>
      <c r="AX36" s="51">
        <f t="shared" si="6"/>
        <v>35.177846889993234</v>
      </c>
      <c r="AY36" s="51">
        <f t="shared" si="6"/>
        <v>35.494542779729372</v>
      </c>
      <c r="AZ36" s="51">
        <f t="shared" si="6"/>
        <v>35.812727140147288</v>
      </c>
      <c r="BA36" s="51">
        <f t="shared" si="6"/>
        <v>36.132406967059154</v>
      </c>
      <c r="BB36" s="51">
        <f t="shared" si="6"/>
        <v>36.453589289157513</v>
      </c>
      <c r="BC36" s="51">
        <f t="shared" si="6"/>
        <v>36.776281168169739</v>
      </c>
      <c r="BD36" s="51">
        <f t="shared" si="6"/>
        <v>37.100489699013323</v>
      </c>
      <c r="BE36" s="51">
        <f t="shared" si="6"/>
        <v>37.426222009951864</v>
      </c>
      <c r="BF36" s="51">
        <f t="shared" si="6"/>
        <v>37.753485262751809</v>
      </c>
      <c r="BG36" s="51">
        <f t="shared" si="6"/>
        <v>38.082286652839919</v>
      </c>
      <c r="BH36" s="51">
        <f>BH33*0.34</f>
        <v>0</v>
      </c>
    </row>
    <row r="37" spans="1:60" ht="15" customHeight="1" outlineLevel="1" x14ac:dyDescent="0.25">
      <c r="A37" s="1823">
        <f>C37*1000000/$C$16</f>
        <v>12.642248455707531</v>
      </c>
      <c r="B37" s="1847" t="s">
        <v>1013</v>
      </c>
      <c r="C37" s="1808">
        <f>SUMIF($D$15:$BG$15,1,D37:BG37)</f>
        <v>742.19815391972304</v>
      </c>
      <c r="D37" s="1804">
        <f t="shared" ref="D37:AJ37" si="7">NPV($C$8,D36:D36)</f>
        <v>0</v>
      </c>
      <c r="E37" s="51">
        <f t="shared" si="7"/>
        <v>0</v>
      </c>
      <c r="F37" s="51">
        <f t="shared" si="7"/>
        <v>0</v>
      </c>
      <c r="G37" s="51">
        <f t="shared" si="7"/>
        <v>21.580020494850341</v>
      </c>
      <c r="H37" s="51">
        <f t="shared" si="7"/>
        <v>21.819534552319912</v>
      </c>
      <c r="I37" s="51">
        <f t="shared" si="7"/>
        <v>22.060174325859599</v>
      </c>
      <c r="J37" s="51">
        <f t="shared" si="7"/>
        <v>22.301945106334902</v>
      </c>
      <c r="K37" s="51">
        <f t="shared" si="7"/>
        <v>22.544852209478435</v>
      </c>
      <c r="L37" s="51">
        <f t="shared" si="7"/>
        <v>22.788900976006754</v>
      </c>
      <c r="M37" s="51">
        <f t="shared" si="7"/>
        <v>23.034096771737769</v>
      </c>
      <c r="N37" s="51">
        <f t="shared" si="7"/>
        <v>23.280444987708705</v>
      </c>
      <c r="O37" s="51">
        <f t="shared" si="7"/>
        <v>23.527951040294706</v>
      </c>
      <c r="P37" s="51">
        <f t="shared" si="7"/>
        <v>23.776620371327862</v>
      </c>
      <c r="Q37" s="51">
        <f t="shared" si="7"/>
        <v>24.026458448216871</v>
      </c>
      <c r="R37" s="51">
        <f t="shared" si="7"/>
        <v>24.277470764067257</v>
      </c>
      <c r="S37" s="51">
        <f t="shared" si="7"/>
        <v>23.776620371327862</v>
      </c>
      <c r="T37" s="51">
        <f t="shared" si="7"/>
        <v>24.026458448216871</v>
      </c>
      <c r="U37" s="51">
        <f t="shared" si="7"/>
        <v>24.277470764067257</v>
      </c>
      <c r="V37" s="51">
        <f t="shared" si="7"/>
        <v>24.529662837802132</v>
      </c>
      <c r="W37" s="51">
        <f t="shared" si="7"/>
        <v>24.78304021428357</v>
      </c>
      <c r="X37" s="51">
        <f t="shared" si="7"/>
        <v>25.037608464434477</v>
      </c>
      <c r="Y37" s="51">
        <f t="shared" si="7"/>
        <v>25.293373185361091</v>
      </c>
      <c r="Z37" s="51">
        <f t="shared" si="7"/>
        <v>25.550340000476055</v>
      </c>
      <c r="AA37" s="51">
        <f t="shared" si="7"/>
        <v>25.808514559622072</v>
      </c>
      <c r="AB37" s="51">
        <f t="shared" si="7"/>
        <v>26.067902539196055</v>
      </c>
      <c r="AC37" s="51">
        <f t="shared" si="7"/>
        <v>26.328509642274042</v>
      </c>
      <c r="AD37" s="51">
        <f t="shared" si="7"/>
        <v>26.590341598736508</v>
      </c>
      <c r="AE37" s="51">
        <f t="shared" si="7"/>
        <v>26.853404165394345</v>
      </c>
      <c r="AF37" s="51">
        <f t="shared" si="7"/>
        <v>27.117703126115458</v>
      </c>
      <c r="AG37" s="51">
        <f t="shared" si="7"/>
        <v>27.383244291951975</v>
      </c>
      <c r="AH37" s="51">
        <f t="shared" si="7"/>
        <v>27.650033501267917</v>
      </c>
      <c r="AI37" s="51">
        <f t="shared" si="7"/>
        <v>27.918076619867659</v>
      </c>
      <c r="AJ37" s="1739">
        <f t="shared" si="7"/>
        <v>28.187379541124791</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customHeight="1" outlineLevel="1" x14ac:dyDescent="0.25">
      <c r="A39" s="1823">
        <f>C39*1000000/$C$16</f>
        <v>14.467242972079955</v>
      </c>
      <c r="B39" s="1794" t="s">
        <v>1002</v>
      </c>
      <c r="C39" s="1809">
        <f>SUMIF($D$15:$BG$15,1,D39:BG39)</f>
        <v>849.33950347560187</v>
      </c>
      <c r="D39" s="1804">
        <f>'C-FCL Real'!C156</f>
        <v>-155.96325982791137</v>
      </c>
      <c r="E39" s="51">
        <f>'C-FCL Real'!D156</f>
        <v>-444.66495527748197</v>
      </c>
      <c r="F39" s="51">
        <f>'C-FCL Real'!E156</f>
        <v>-250.92462268681905</v>
      </c>
      <c r="G39" s="51">
        <f>'C-FCL Real'!F156</f>
        <v>45.916861950245433</v>
      </c>
      <c r="H39" s="51">
        <f>'C-FCL Real'!G156</f>
        <v>46.426487690156009</v>
      </c>
      <c r="I39" s="51">
        <f>'C-FCL Real'!H156</f>
        <v>46.938508671044175</v>
      </c>
      <c r="J39" s="51">
        <f>'C-FCL Real'!I156</f>
        <v>47.452936150542477</v>
      </c>
      <c r="K39" s="51">
        <f>'C-FCL Real'!J156</f>
        <v>47.969781439194421</v>
      </c>
      <c r="L39" s="51">
        <f>'C-FCL Real'!K156</f>
        <v>48.489055900703043</v>
      </c>
      <c r="M39" s="51">
        <f>'C-FCL Real'!L156</f>
        <v>49.010770952180785</v>
      </c>
      <c r="N39" s="51">
        <f>'C-FCL Real'!M156</f>
        <v>49.534938064400436</v>
      </c>
      <c r="O39" s="51">
        <f>'C-FCL Real'!N156</f>
        <v>50.061568762047536</v>
      </c>
      <c r="P39" s="51">
        <f>'C-FCL Real'!O156</f>
        <v>50.59067462397357</v>
      </c>
      <c r="Q39" s="51">
        <f>'C-FCL Real'!P156</f>
        <v>51.122267283450654</v>
      </c>
      <c r="R39" s="51">
        <f>'C-FCL Real'!Q156</f>
        <v>51.656358428427268</v>
      </c>
      <c r="S39" s="51">
        <f>'C-FCL Real'!O156</f>
        <v>50.59067462397357</v>
      </c>
      <c r="T39" s="51">
        <f>'C-FCL Real'!P156</f>
        <v>51.122267283450654</v>
      </c>
      <c r="U39" s="51">
        <f>'C-FCL Real'!Q156</f>
        <v>51.656358428427268</v>
      </c>
      <c r="V39" s="51">
        <f>'C-FCL Real'!R156</f>
        <v>52.192959801785271</v>
      </c>
      <c r="W39" s="51">
        <f>'C-FCL Real'!S156</f>
        <v>52.732083201598073</v>
      </c>
      <c r="X39" s="51">
        <f>'C-FCL Real'!T156</f>
        <v>53.273740481389993</v>
      </c>
      <c r="Y39" s="51">
        <f>'C-FCL Real'!U156</f>
        <v>53.817943550396947</v>
      </c>
      <c r="Z39" s="51">
        <f>'C-FCL Real'!V156</f>
        <v>54.364704373828218</v>
      </c>
      <c r="AA39" s="51">
        <f>'C-FCL Real'!W156</f>
        <v>54.914034973129638</v>
      </c>
      <c r="AB39" s="51">
        <f>'C-FCL Real'!X156</f>
        <v>55.46594742624773</v>
      </c>
      <c r="AC39" s="51">
        <f>'C-FCL Real'!Y156</f>
        <v>56.020453867895498</v>
      </c>
      <c r="AD39" s="51">
        <f>'C-FCL Real'!Z156</f>
        <v>56.577566489819034</v>
      </c>
      <c r="AE39" s="51">
        <f>'C-FCL Real'!AA156</f>
        <v>57.1372975410656</v>
      </c>
      <c r="AF39" s="51">
        <f>'C-FCL Real'!AB156</f>
        <v>57.699659328252999</v>
      </c>
      <c r="AG39" s="51">
        <f>'C-FCL Real'!AC156</f>
        <v>58.264664215840213</v>
      </c>
      <c r="AH39" s="51">
        <f>'C-FCL Real'!AD156</f>
        <v>58.832324626399064</v>
      </c>
      <c r="AI39" s="51">
        <f>'C-FCL Real'!AE156</f>
        <v>59.402653040887571</v>
      </c>
      <c r="AJ39" s="1739">
        <f>'C-FCL Real'!AF156</f>
        <v>59.975661998924124</v>
      </c>
      <c r="AK39" s="51">
        <f>'C-FCL Real'!AG156</f>
        <v>60.55136409906347</v>
      </c>
      <c r="AL39" s="51">
        <f>'C-FCL Real'!AH156</f>
        <v>61.129771999073505</v>
      </c>
      <c r="AM39" s="51">
        <f>'C-FCL Real'!AI156</f>
        <v>61.71089841621356</v>
      </c>
      <c r="AN39" s="51">
        <f>'C-FCL Real'!AJ156</f>
        <v>62.294756127514148</v>
      </c>
      <c r="AO39" s="51">
        <f>'C-FCL Real'!AK156</f>
        <v>62.88135797005787</v>
      </c>
      <c r="AP39" s="51">
        <f>'C-FCL Real'!AL156</f>
        <v>63.470716841261542</v>
      </c>
      <c r="AQ39" s="51">
        <f>'C-FCL Real'!AM156</f>
        <v>64.06284569915988</v>
      </c>
      <c r="AR39" s="51">
        <f>'C-FCL Real'!AN156</f>
        <v>64.657757562690364</v>
      </c>
      <c r="AS39" s="51">
        <f>'C-FCL Real'!AO156</f>
        <v>65.255465511979409</v>
      </c>
      <c r="AT39" s="51">
        <f>'C-FCL Real'!AP156</f>
        <v>65.855982688630121</v>
      </c>
      <c r="AU39" s="51">
        <f>'C-FCL Real'!AQ156</f>
        <v>66.459322296011081</v>
      </c>
      <c r="AV39" s="51">
        <f>'C-FCL Real'!AR156</f>
        <v>67.065497599546759</v>
      </c>
      <c r="AW39" s="51">
        <f>'C-FCL Real'!AS156</f>
        <v>67.674521927009025</v>
      </c>
      <c r="AX39" s="51">
        <f>'C-FCL Real'!AT156</f>
        <v>68.286408668810395</v>
      </c>
      <c r="AY39" s="51">
        <f>'C-FCL Real'!AU156</f>
        <v>68.901171278298193</v>
      </c>
      <c r="AZ39" s="51">
        <f>'C-FCL Real'!AV156</f>
        <v>69.518823272050611</v>
      </c>
      <c r="BA39" s="51">
        <f>'C-FCL Real'!AW156</f>
        <v>70.139378230173648</v>
      </c>
      <c r="BB39" s="51">
        <f>'C-FCL Real'!AX156</f>
        <v>70.76284979659988</v>
      </c>
      <c r="BC39" s="51">
        <f>'C-FCL Real'!AY156</f>
        <v>71.389251679388323</v>
      </c>
      <c r="BD39" s="51">
        <f>'C-FCL Real'!AZ156</f>
        <v>72.018597651025857</v>
      </c>
      <c r="BE39" s="51">
        <f>'C-FCL Real'!BA156</f>
        <v>72.65090154873009</v>
      </c>
      <c r="BF39" s="51">
        <f>'C-FCL Real'!BB156</f>
        <v>73.286177274753513</v>
      </c>
      <c r="BG39" s="51">
        <f>'C-FCL Real'!BC156</f>
        <v>73.924438796689245</v>
      </c>
      <c r="BH39" s="51">
        <f>'C-FCL Real'!BD156</f>
        <v>0</v>
      </c>
    </row>
    <row r="40" spans="1:60" ht="15" customHeight="1" outlineLevel="1" x14ac:dyDescent="0.25">
      <c r="A40" s="1823">
        <f>C40*1000000/$C$16</f>
        <v>12.24872587623301</v>
      </c>
      <c r="B40" s="1847" t="s">
        <v>1015</v>
      </c>
      <c r="C40" s="1808">
        <f>SUMIF($D$15:$BG$15,1,D40:BG40)</f>
        <v>719.09532272359536</v>
      </c>
      <c r="D40" s="1804">
        <f t="shared" ref="D40:AK40" si="8">NPV($C$8,D39:D39)</f>
        <v>-142.2875742080528</v>
      </c>
      <c r="E40" s="51">
        <f t="shared" si="8"/>
        <v>-405.67437415438189</v>
      </c>
      <c r="F40" s="51">
        <f t="shared" si="8"/>
        <v>-228.92222123706139</v>
      </c>
      <c r="G40" s="51">
        <f t="shared" si="8"/>
        <v>41.890628019415367</v>
      </c>
      <c r="H40" s="51">
        <f t="shared" si="8"/>
        <v>42.355567072150421</v>
      </c>
      <c r="I40" s="51">
        <f t="shared" si="8"/>
        <v>42.822691338433337</v>
      </c>
      <c r="J40" s="51">
        <f t="shared" si="8"/>
        <v>43.292011088767751</v>
      </c>
      <c r="K40" s="51">
        <f t="shared" si="8"/>
        <v>43.763536641928731</v>
      </c>
      <c r="L40" s="51">
        <f t="shared" si="8"/>
        <v>44.237278365189582</v>
      </c>
      <c r="M40" s="51">
        <f t="shared" si="8"/>
        <v>44.713246674549787</v>
      </c>
      <c r="N40" s="51">
        <f t="shared" si="8"/>
        <v>45.191452034963952</v>
      </c>
      <c r="O40" s="51">
        <f t="shared" si="8"/>
        <v>45.671904960572078</v>
      </c>
      <c r="P40" s="51">
        <f t="shared" si="8"/>
        <v>46.154616014930554</v>
      </c>
      <c r="Q40" s="51">
        <f t="shared" si="8"/>
        <v>46.639595811244511</v>
      </c>
      <c r="R40" s="51">
        <f t="shared" si="8"/>
        <v>47.126855012601141</v>
      </c>
      <c r="S40" s="51">
        <f t="shared" si="8"/>
        <v>46.154616014930554</v>
      </c>
      <c r="T40" s="51">
        <f t="shared" si="8"/>
        <v>46.639595811244511</v>
      </c>
      <c r="U40" s="51">
        <f t="shared" si="8"/>
        <v>47.126855012601141</v>
      </c>
      <c r="V40" s="51">
        <f t="shared" si="8"/>
        <v>47.616404332204141</v>
      </c>
      <c r="W40" s="51">
        <f t="shared" si="8"/>
        <v>48.108254533609291</v>
      </c>
      <c r="X40" s="51">
        <f t="shared" si="8"/>
        <v>48.602416430961043</v>
      </c>
      <c r="Y40" s="51">
        <f t="shared" si="8"/>
        <v>49.098900889230357</v>
      </c>
      <c r="Z40" s="51">
        <f t="shared" si="8"/>
        <v>49.597718824453523</v>
      </c>
      <c r="AA40" s="51">
        <f t="shared" si="8"/>
        <v>50.098881203972255</v>
      </c>
      <c r="AB40" s="51">
        <f t="shared" si="8"/>
        <v>50.602399046674691</v>
      </c>
      <c r="AC40" s="51">
        <f t="shared" si="8"/>
        <v>51.108283423237843</v>
      </c>
      <c r="AD40" s="51">
        <f t="shared" si="8"/>
        <v>51.616545456370865</v>
      </c>
      <c r="AE40" s="51">
        <f t="shared" si="8"/>
        <v>52.127196321059607</v>
      </c>
      <c r="AF40" s="51">
        <f t="shared" si="8"/>
        <v>52.640247244812358</v>
      </c>
      <c r="AG40" s="51">
        <f t="shared" si="8"/>
        <v>53.155709507906778</v>
      </c>
      <c r="AH40" s="51">
        <f t="shared" si="8"/>
        <v>53.673594443637718</v>
      </c>
      <c r="AI40" s="51">
        <f t="shared" si="8"/>
        <v>54.193913438566625</v>
      </c>
      <c r="AJ40" s="1739">
        <f t="shared" si="8"/>
        <v>54.716677932771645</v>
      </c>
      <c r="AK40" s="51">
        <f t="shared" si="8"/>
        <v>55.241899420099458</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customHeight="1" outlineLevel="1" x14ac:dyDescent="0.25">
      <c r="A42" s="1823">
        <f>A24+A27+A30</f>
        <v>103.8426485333062</v>
      </c>
      <c r="B42" s="1793" t="s">
        <v>1003</v>
      </c>
      <c r="C42" s="1810"/>
      <c r="D42" s="1804">
        <f>'C-FCL Real'!C157</f>
        <v>-155.96325982791137</v>
      </c>
      <c r="E42" s="51">
        <f>'C-FCL Real'!D157</f>
        <v>-600.62821510539334</v>
      </c>
      <c r="F42" s="51">
        <f>'C-FCL Real'!E157</f>
        <v>-851.55283779221236</v>
      </c>
      <c r="G42" s="51">
        <f>'C-FCL Real'!F157</f>
        <v>-805.63597584196691</v>
      </c>
      <c r="H42" s="51">
        <f>'C-FCL Real'!G157</f>
        <v>-759.20948815181089</v>
      </c>
      <c r="I42" s="51">
        <f>'C-FCL Real'!H157</f>
        <v>-712.27097948076675</v>
      </c>
      <c r="J42" s="51">
        <f>'C-FCL Real'!I157</f>
        <v>-664.81804333022433</v>
      </c>
      <c r="K42" s="51">
        <f>'C-FCL Real'!J157</f>
        <v>-616.84826189102989</v>
      </c>
      <c r="L42" s="51">
        <f>'C-FCL Real'!K157</f>
        <v>-568.35920599032681</v>
      </c>
      <c r="M42" s="51">
        <f>'C-FCL Real'!L157</f>
        <v>-519.34843503814602</v>
      </c>
      <c r="N42" s="51">
        <f>'C-FCL Real'!M157</f>
        <v>-469.8134969737456</v>
      </c>
      <c r="O42" s="51">
        <f>'C-FCL Real'!N157</f>
        <v>-419.75192821169804</v>
      </c>
      <c r="P42" s="51">
        <f>'C-FCL Real'!O157</f>
        <v>-369.16125358772445</v>
      </c>
      <c r="Q42" s="51">
        <f>'C-FCL Real'!P157</f>
        <v>-318.03898630427381</v>
      </c>
      <c r="R42" s="51">
        <f>'C-FCL Real'!Q157</f>
        <v>-266.38262787584654</v>
      </c>
      <c r="S42" s="51">
        <f>'C-FCL Real'!O157</f>
        <v>-369.16125358772445</v>
      </c>
      <c r="T42" s="51">
        <f>'C-FCL Real'!P157</f>
        <v>-318.03898630427381</v>
      </c>
      <c r="U42" s="51">
        <f>'C-FCL Real'!Q157</f>
        <v>-266.38262787584654</v>
      </c>
      <c r="V42" s="51">
        <f>'C-FCL Real'!R157</f>
        <v>-214.18966807406127</v>
      </c>
      <c r="W42" s="51">
        <f>'C-FCL Real'!S157</f>
        <v>-161.4575848724632</v>
      </c>
      <c r="X42" s="51">
        <f>'C-FCL Real'!T157</f>
        <v>-108.18384439107321</v>
      </c>
      <c r="Y42" s="51">
        <f>'C-FCL Real'!U157</f>
        <v>-54.365900840676261</v>
      </c>
      <c r="Z42" s="51">
        <f>'C-FCL Real'!V157</f>
        <v>-1.1964668480430873E-3</v>
      </c>
      <c r="AA42" s="51">
        <f>'C-FCL Real'!W157</f>
        <v>54.912838506281595</v>
      </c>
      <c r="AB42" s="51">
        <f>'C-FCL Real'!X157</f>
        <v>110.37878593252933</v>
      </c>
      <c r="AC42" s="51">
        <f>'C-FCL Real'!Y157</f>
        <v>166.39923980042482</v>
      </c>
      <c r="AD42" s="51">
        <f>'C-FCL Real'!Z157</f>
        <v>222.97680629024387</v>
      </c>
      <c r="AE42" s="51">
        <f>'C-FCL Real'!AA157</f>
        <v>280.11410383130948</v>
      </c>
      <c r="AF42" s="51">
        <f>'C-FCL Real'!AB157</f>
        <v>337.81376315956248</v>
      </c>
      <c r="AG42" s="51">
        <f>'C-FCL Real'!AC157</f>
        <v>396.07842737540273</v>
      </c>
      <c r="AH42" s="51">
        <f>'C-FCL Real'!AD157</f>
        <v>454.91075200180177</v>
      </c>
      <c r="AI42" s="51">
        <f>'C-FCL Real'!AE157</f>
        <v>514.31340504268928</v>
      </c>
      <c r="AJ42" s="1739">
        <f>'C-FCL Real'!AF157</f>
        <v>574.28906704161341</v>
      </c>
      <c r="AK42" s="51">
        <f>'C-FCL Real'!AG157</f>
        <v>634.84043114067686</v>
      </c>
      <c r="AL42" s="51">
        <f>'C-FCL Real'!AH157</f>
        <v>695.97020313975031</v>
      </c>
      <c r="AM42" s="51">
        <f>'C-FCL Real'!AI157</f>
        <v>757.68110155596389</v>
      </c>
      <c r="AN42" s="51">
        <f>'C-FCL Real'!AJ157</f>
        <v>819.97585768347801</v>
      </c>
      <c r="AO42" s="51">
        <f>'C-FCL Real'!AK157</f>
        <v>882.85721565353583</v>
      </c>
      <c r="AP42" s="51">
        <f>'C-FCL Real'!AL157</f>
        <v>946.32793249479732</v>
      </c>
      <c r="AQ42" s="51">
        <f>'C-FCL Real'!AM157</f>
        <v>1010.3907781939572</v>
      </c>
      <c r="AR42" s="51">
        <f>'C-FCL Real'!AN157</f>
        <v>1075.0485357566477</v>
      </c>
      <c r="AS42" s="51">
        <f>'C-FCL Real'!AO157</f>
        <v>1140.304001268627</v>
      </c>
      <c r="AT42" s="51">
        <f>'C-FCL Real'!AP157</f>
        <v>1206.1599839572571</v>
      </c>
      <c r="AU42" s="51">
        <f>'C-FCL Real'!AQ157</f>
        <v>1272.6193062532682</v>
      </c>
      <c r="AV42" s="51">
        <f>'C-FCL Real'!AR157</f>
        <v>1339.6848038528149</v>
      </c>
      <c r="AW42" s="51">
        <f>'C-FCL Real'!AS157</f>
        <v>1407.3593257798238</v>
      </c>
      <c r="AX42" s="51">
        <f>'C-FCL Real'!AT157</f>
        <v>1475.6457344486344</v>
      </c>
      <c r="AY42" s="51">
        <f>'C-FCL Real'!AU157</f>
        <v>1544.5469057269324</v>
      </c>
      <c r="AZ42" s="51">
        <f>'C-FCL Real'!AV157</f>
        <v>1614.0657289989831</v>
      </c>
      <c r="BA42" s="51">
        <f>'C-FCL Real'!AW157</f>
        <v>1684.2051072291567</v>
      </c>
      <c r="BB42" s="51">
        <f>'C-FCL Real'!AX157</f>
        <v>1754.9679570257567</v>
      </c>
      <c r="BC42" s="51">
        <f>'C-FCL Real'!AY157</f>
        <v>1826.357208705145</v>
      </c>
      <c r="BD42" s="51">
        <f>'C-FCL Real'!AZ157</f>
        <v>1898.3758063561709</v>
      </c>
      <c r="BE42" s="51">
        <f>'C-FCL Real'!BA157</f>
        <v>1971.0267079049011</v>
      </c>
      <c r="BF42" s="51">
        <f>'C-FCL Real'!BB157</f>
        <v>2044.3128851796546</v>
      </c>
      <c r="BG42" s="51">
        <f>'C-FCL Real'!BC157</f>
        <v>2118.2373239763438</v>
      </c>
      <c r="BH42" s="51">
        <f>'C-FCL Real'!BD157</f>
        <v>0</v>
      </c>
    </row>
    <row r="43" spans="1:60" ht="15" customHeight="1" outlineLevel="1" x14ac:dyDescent="0.25">
      <c r="A43" s="1823">
        <f>A18+A21+A36</f>
        <v>89.375405561226259</v>
      </c>
      <c r="B43" s="1793" t="s">
        <v>1042</v>
      </c>
      <c r="C43" s="1811">
        <f>'R&amp;C-Painel de Controle'!D32</f>
        <v>35</v>
      </c>
      <c r="D43" s="1796" t="s">
        <v>309</v>
      </c>
    </row>
    <row r="44" spans="1:60" ht="15" customHeight="1" outlineLevel="1" x14ac:dyDescent="0.25">
      <c r="A44" s="1823">
        <f>A42-A43</f>
        <v>14.467242972079944</v>
      </c>
      <c r="B44" s="1793" t="s">
        <v>1024</v>
      </c>
      <c r="C44" s="1727"/>
      <c r="D44" s="1192"/>
      <c r="F44" s="1733"/>
      <c r="G44" s="1733"/>
    </row>
    <row r="45" spans="1:60" s="1783" customFormat="1" ht="15" customHeight="1" outlineLevel="1" x14ac:dyDescent="0.25">
      <c r="A45" s="1823"/>
      <c r="B45" s="1793"/>
      <c r="C45" s="1841"/>
      <c r="D45" s="1192"/>
      <c r="F45" s="1733"/>
      <c r="G45" s="1733"/>
      <c r="AI45" s="383"/>
    </row>
    <row r="46" spans="1:60" ht="15" customHeight="1" outlineLevel="1" x14ac:dyDescent="0.25">
      <c r="B46" s="1738" t="s">
        <v>1021</v>
      </c>
      <c r="C46" s="1809">
        <f>F46*$C$16/1000000</f>
        <v>6067.5001220938402</v>
      </c>
      <c r="D46" s="1758" t="s">
        <v>1061</v>
      </c>
      <c r="E46" s="1758"/>
      <c r="F46" s="1775">
        <f>A27</f>
        <v>103.35089577283267</v>
      </c>
      <c r="G46" s="1758" t="s">
        <v>342</v>
      </c>
      <c r="H46" s="1758"/>
    </row>
    <row r="47" spans="1:60" ht="15" customHeight="1" outlineLevel="1" x14ac:dyDescent="0.25">
      <c r="B47" s="1869" t="s">
        <v>1022</v>
      </c>
      <c r="C47" s="1870">
        <f>F47*$C$16/1000000</f>
        <v>0</v>
      </c>
      <c r="D47" s="1871" t="s">
        <v>1061</v>
      </c>
      <c r="E47" s="1871"/>
      <c r="F47" s="1872">
        <f>A24</f>
        <v>0</v>
      </c>
      <c r="G47" s="1871" t="s">
        <v>342</v>
      </c>
      <c r="H47" s="1871"/>
    </row>
    <row r="48" spans="1:60" ht="15" customHeight="1" outlineLevel="1" thickBot="1" x14ac:dyDescent="0.3">
      <c r="B48" s="1738" t="s">
        <v>1023</v>
      </c>
      <c r="C48" s="1809">
        <f>F48*$C$16/1000000</f>
        <v>28.869705597630787</v>
      </c>
      <c r="D48" s="1758" t="s">
        <v>1061</v>
      </c>
      <c r="E48" s="1758"/>
      <c r="F48" s="1775">
        <f>A30</f>
        <v>0.49175276047352623</v>
      </c>
      <c r="G48" s="1758" t="s">
        <v>342</v>
      </c>
      <c r="H48" s="1758"/>
    </row>
    <row r="49" spans="1:35" s="42" customFormat="1" ht="15" customHeight="1" outlineLevel="1" thickTop="1" x14ac:dyDescent="0.25">
      <c r="A49" s="1740"/>
      <c r="B49" s="1759" t="s">
        <v>1025</v>
      </c>
      <c r="C49" s="1777">
        <f>C46+C47+C48</f>
        <v>6096.3698276914711</v>
      </c>
      <c r="D49" s="1760" t="s">
        <v>1061</v>
      </c>
      <c r="E49" s="1760"/>
      <c r="F49" s="1761">
        <f>F46+F47+F48</f>
        <v>103.8426485333062</v>
      </c>
      <c r="G49" s="1760" t="s">
        <v>342</v>
      </c>
      <c r="H49" s="1760"/>
      <c r="AI49" s="1740"/>
    </row>
    <row r="50" spans="1:35" ht="15" customHeight="1" outlineLevel="1" x14ac:dyDescent="0.25">
      <c r="B50" s="1869" t="s">
        <v>1027</v>
      </c>
      <c r="C50" s="1870">
        <f>F50*$C$16/1000000</f>
        <v>4370.8130575021478</v>
      </c>
      <c r="D50" s="1871" t="s">
        <v>1061</v>
      </c>
      <c r="E50" s="1871"/>
      <c r="F50" s="1872">
        <f>A18+A21</f>
        <v>74.450339622334184</v>
      </c>
      <c r="G50" s="1871" t="s">
        <v>342</v>
      </c>
      <c r="H50" s="1871"/>
    </row>
    <row r="51" spans="1:35" ht="15" customHeight="1" outlineLevel="1" x14ac:dyDescent="0.25">
      <c r="B51" s="1738" t="s">
        <v>1028</v>
      </c>
      <c r="C51" s="1821">
        <f>F51*$C$16/1000000</f>
        <v>876.21726671372267</v>
      </c>
      <c r="D51" s="1758" t="s">
        <v>1061</v>
      </c>
      <c r="E51" s="1758"/>
      <c r="F51" s="1776">
        <f>A36</f>
        <v>14.925065938892073</v>
      </c>
      <c r="G51" s="1758" t="s">
        <v>342</v>
      </c>
      <c r="H51" s="1758"/>
    </row>
    <row r="52" spans="1:35" s="1735" customFormat="1" ht="15" customHeight="1" outlineLevel="1" thickBot="1" x14ac:dyDescent="0.3">
      <c r="A52" s="1745"/>
      <c r="B52" s="1799"/>
      <c r="C52" s="1820"/>
      <c r="D52" s="1770"/>
      <c r="E52" s="1770"/>
      <c r="F52" s="1770"/>
      <c r="G52" s="1770"/>
      <c r="H52" s="1770"/>
      <c r="AI52" s="1745"/>
    </row>
    <row r="53" spans="1:35" s="45" customFormat="1" ht="15" customHeight="1" outlineLevel="1" thickTop="1" x14ac:dyDescent="0.25">
      <c r="A53" s="925"/>
      <c r="B53" s="1843" t="s">
        <v>1026</v>
      </c>
      <c r="C53" s="1844">
        <f>C49-C50-C51</f>
        <v>849.33950347560062</v>
      </c>
      <c r="D53" s="1845" t="s">
        <v>1061</v>
      </c>
      <c r="E53" s="1845"/>
      <c r="F53" s="1846">
        <f>F49-F50-F51</f>
        <v>14.467242972079946</v>
      </c>
      <c r="G53" s="1845" t="s">
        <v>342</v>
      </c>
      <c r="H53" s="1845"/>
      <c r="AI53" s="925"/>
    </row>
    <row r="54" spans="1:35" s="1783" customFormat="1" ht="15" customHeight="1" thickBot="1" x14ac:dyDescent="0.3">
      <c r="A54" s="1823"/>
      <c r="B54" s="1793"/>
      <c r="C54" s="1841"/>
      <c r="D54" s="1192"/>
      <c r="F54" s="1733"/>
      <c r="G54" s="1733"/>
      <c r="AI54" s="383"/>
    </row>
    <row r="55" spans="1:35" s="1768" customFormat="1" ht="25.15" customHeight="1" collapsed="1" thickTop="1" thickBot="1" x14ac:dyDescent="0.3">
      <c r="A55" s="1769"/>
      <c r="B55" s="2399" t="s">
        <v>1082</v>
      </c>
      <c r="C55" s="2400"/>
      <c r="D55" s="2400"/>
      <c r="E55" s="2400"/>
      <c r="F55" s="2400"/>
      <c r="G55" s="2400"/>
      <c r="H55" s="2401"/>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49088873.98399134</v>
      </c>
      <c r="D57" s="1752" t="s">
        <v>1016</v>
      </c>
      <c r="E57" s="1752"/>
      <c r="F57" s="1753">
        <f>C57/'R&amp;C-Painel de Controle'!$D$8</f>
        <v>31.467226912814962</v>
      </c>
      <c r="G57" s="1752" t="s">
        <v>342</v>
      </c>
      <c r="H57" s="1754">
        <f>F57/$F$99</f>
        <v>0.20820541752225682</v>
      </c>
      <c r="AI57" s="925"/>
    </row>
    <row r="58" spans="1:35" s="1735" customFormat="1" ht="15" hidden="1" customHeight="1" outlineLevel="1" x14ac:dyDescent="0.25">
      <c r="A58" s="1745"/>
      <c r="B58" s="1747" t="s">
        <v>1034</v>
      </c>
      <c r="C58" s="1813">
        <f>('R&amp;C-Painel de Controle'!D8-'R&amp;C-Painel de Controle'!D9)</f>
        <v>955981.64999999991</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51.349180168878078</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121463432.50407507</v>
      </c>
      <c r="D61" s="1849" t="s">
        <v>1016</v>
      </c>
      <c r="E61" s="1849"/>
      <c r="F61" s="1850">
        <f>C61/'R&amp;C-Painel de Controle'!$D$8</f>
        <v>77.861174682099403</v>
      </c>
      <c r="G61" s="1849" t="s">
        <v>342</v>
      </c>
      <c r="H61" s="1851">
        <f>F61/$F$99</f>
        <v>0.51517467453917698</v>
      </c>
      <c r="AI61" s="925"/>
    </row>
    <row r="62" spans="1:35" s="1735" customFormat="1" ht="15" hidden="1" customHeight="1" outlineLevel="1" x14ac:dyDescent="0.25">
      <c r="A62" s="1745"/>
      <c r="B62" s="1741" t="str">
        <f>'R&amp;C-Painel de Controle'!J36</f>
        <v>Mat. Recicl.: Papel/Papelão — Triagem Mecanizada</v>
      </c>
      <c r="C62" s="1816">
        <f>'R&amp;C-Painel de Controle'!L36</f>
        <v>55391.307138022974</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37632.262101404922</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19450.382659153107</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10148.025735210316</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f>
        <v>2537.0064338025791</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f>
        <v>9725.1913295765535</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4592496.3578478983</v>
      </c>
      <c r="D78" s="1758" t="s">
        <v>1016</v>
      </c>
      <c r="E78" s="1758"/>
      <c r="F78" s="1776">
        <f>C78/'R&amp;C-Painel de Controle'!$D$8</f>
        <v>2.9439079216973707</v>
      </c>
      <c r="G78" s="1758" t="s">
        <v>342</v>
      </c>
      <c r="H78" s="1852">
        <f>F78/$F$99</f>
        <v>1.9478601647432203E-2</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6429494.900987057</v>
      </c>
      <c r="D79" s="1758" t="s">
        <v>1016</v>
      </c>
      <c r="E79" s="1758"/>
      <c r="F79" s="1776">
        <f>C79/'R&amp;C-Painel de Controle'!$D$8</f>
        <v>4.1214710903763185</v>
      </c>
      <c r="G79" s="1758" t="s">
        <v>342</v>
      </c>
      <c r="H79" s="1852">
        <f>F79/$F$99</f>
        <v>2.727004230640508E-2</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9445745.2893269751</v>
      </c>
      <c r="D81" s="1855" t="s">
        <v>1016</v>
      </c>
      <c r="E81" s="1855"/>
      <c r="F81" s="1856">
        <f>C81/'R&amp;C-Painel de Controle'!$D$8</f>
        <v>6.0549649290557532</v>
      </c>
      <c r="G81" s="1855" t="s">
        <v>342</v>
      </c>
      <c r="H81" s="1857">
        <f>F81/$F$99</f>
        <v>4.0063158556347636E-2</v>
      </c>
    </row>
    <row r="82" spans="1:35" ht="15" hidden="1" customHeight="1" outlineLevel="1" x14ac:dyDescent="0.25">
      <c r="B82" s="1755" t="s">
        <v>1037</v>
      </c>
      <c r="C82" s="1786">
        <f>'R&amp;C-Painel de Controle'!D8</f>
        <v>1560000</v>
      </c>
      <c r="D82" s="1745" t="s">
        <v>298</v>
      </c>
      <c r="E82" s="1745"/>
      <c r="F82" s="1771"/>
      <c r="G82" s="1745"/>
      <c r="H82" s="1772"/>
    </row>
    <row r="83" spans="1:35" ht="15" hidden="1" customHeight="1" outlineLevel="1" x14ac:dyDescent="0.25">
      <c r="B83" s="1755" t="s">
        <v>1038</v>
      </c>
      <c r="C83" s="1786">
        <f>'R&amp;C-Painel de Controle'!D33</f>
        <v>120.52582597414886</v>
      </c>
      <c r="D83" s="1745" t="s">
        <v>342</v>
      </c>
      <c r="E83" s="1745"/>
      <c r="F83" s="1771"/>
      <c r="G83" s="1745"/>
      <c r="H83" s="1772"/>
    </row>
    <row r="84" spans="1:35" ht="15" hidden="1" customHeight="1" outlineLevel="1" x14ac:dyDescent="0.25">
      <c r="B84" s="1755" t="s">
        <v>1039</v>
      </c>
      <c r="C84" s="1786">
        <f>'R&amp;C-Painel de Controle'!D31*312</f>
        <v>18720</v>
      </c>
      <c r="D84" s="1745" t="s">
        <v>298</v>
      </c>
      <c r="E84" s="1745"/>
      <c r="F84" s="1771"/>
      <c r="G84" s="1745"/>
      <c r="H84" s="1772"/>
    </row>
    <row r="85" spans="1:35" ht="15" hidden="1" customHeight="1" outlineLevel="1" x14ac:dyDescent="0.25">
      <c r="B85" s="1755" t="s">
        <v>1040</v>
      </c>
      <c r="C85" s="1786">
        <f>'R&amp;C-Painel de Controle'!H31</f>
        <v>47.789383913850941</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2324658.9952933029</v>
      </c>
      <c r="D88" s="1855" t="s">
        <v>1016</v>
      </c>
      <c r="E88" s="1855"/>
      <c r="F88" s="1856">
        <f>C88/'R&amp;C-Painel de Controle'!$D$8</f>
        <v>1.4901660226239122</v>
      </c>
      <c r="G88" s="1855" t="s">
        <v>342</v>
      </c>
      <c r="H88" s="1857">
        <f>F88/$F$99</f>
        <v>9.8598023835249193E-3</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42426655.737033188</v>
      </c>
      <c r="D92" s="1855" t="s">
        <v>1016</v>
      </c>
      <c r="E92" s="1858"/>
      <c r="F92" s="1859">
        <f>C92/'R&amp;C-Painel de Controle'!$D$8</f>
        <v>27.19657419040589</v>
      </c>
      <c r="G92" s="1858" t="s">
        <v>342</v>
      </c>
      <c r="H92" s="1860">
        <f>F92/$F$99</f>
        <v>0.17994830304485654</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1560000</v>
      </c>
      <c r="D94" s="1745" t="s">
        <v>298</v>
      </c>
      <c r="E94" s="1745"/>
      <c r="F94" s="1771"/>
      <c r="G94" s="1745"/>
      <c r="H94" s="1772"/>
    </row>
    <row r="95" spans="1:35" ht="15" hidden="1" customHeight="1" outlineLevel="1" x14ac:dyDescent="0.25">
      <c r="B95" s="1755" t="s">
        <v>1038</v>
      </c>
      <c r="C95" s="1786">
        <f>C83</f>
        <v>120.52582597414886</v>
      </c>
      <c r="D95" s="1745" t="s">
        <v>342</v>
      </c>
      <c r="E95" s="1745"/>
      <c r="F95" s="1771"/>
      <c r="G95" s="1745"/>
      <c r="H95" s="1772"/>
    </row>
    <row r="96" spans="1:35" ht="15" hidden="1" customHeight="1" outlineLevel="1" x14ac:dyDescent="0.25">
      <c r="B96" s="1755" t="s">
        <v>1039</v>
      </c>
      <c r="C96" s="1786">
        <f>C84</f>
        <v>18720</v>
      </c>
      <c r="D96" s="1745" t="s">
        <v>298</v>
      </c>
      <c r="E96" s="1745"/>
      <c r="F96" s="1771"/>
      <c r="G96" s="1745"/>
      <c r="H96" s="1772"/>
    </row>
    <row r="97" spans="1:35" ht="15" hidden="1" customHeight="1" outlineLevel="1" x14ac:dyDescent="0.25">
      <c r="B97" s="1755" t="s">
        <v>1040</v>
      </c>
      <c r="C97" s="1786">
        <f>C85</f>
        <v>47.789383913850941</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235771357.76855481</v>
      </c>
      <c r="D99" s="1863" t="s">
        <v>1016</v>
      </c>
      <c r="E99" s="1864"/>
      <c r="F99" s="1865">
        <f>C99/'R&amp;C-Painel de Controle'!$D$8</f>
        <v>151.13548574907358</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9" t="s">
        <v>1083</v>
      </c>
      <c r="C101" s="2400"/>
      <c r="D101" s="2400"/>
      <c r="E101" s="2400"/>
      <c r="F101" s="2400"/>
      <c r="G101" s="2400"/>
      <c r="H101" s="2401"/>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1560000</v>
      </c>
      <c r="D103" s="1875" t="s">
        <v>298</v>
      </c>
      <c r="E103" s="1876"/>
      <c r="F103" s="1876"/>
      <c r="G103" s="1876"/>
      <c r="H103" s="1876"/>
    </row>
    <row r="104" spans="1:35" s="1783" customFormat="1" ht="15" hidden="1" customHeight="1" outlineLevel="1" x14ac:dyDescent="0.25">
      <c r="A104" s="383"/>
      <c r="B104" s="1873" t="s">
        <v>1069</v>
      </c>
      <c r="C104" s="1874">
        <f>C103/312</f>
        <v>5000</v>
      </c>
      <c r="D104" s="1875" t="s">
        <v>21</v>
      </c>
      <c r="E104" s="1876"/>
      <c r="F104" s="1876"/>
      <c r="G104" s="1876"/>
      <c r="H104" s="1876"/>
      <c r="AI104" s="383"/>
    </row>
    <row r="105" spans="1:35" ht="15" hidden="1" customHeight="1" outlineLevel="1" x14ac:dyDescent="0.25">
      <c r="B105" s="1877" t="s">
        <v>1071</v>
      </c>
      <c r="C105" s="1874">
        <f>'R&amp;C-Painel de Controle'!D48</f>
        <v>1691337.6225350527</v>
      </c>
      <c r="D105" s="1875" t="s">
        <v>298</v>
      </c>
      <c r="E105" s="1876"/>
      <c r="F105" s="1876"/>
      <c r="G105" s="1876"/>
      <c r="H105" s="1876"/>
    </row>
    <row r="106" spans="1:35" s="1783" customFormat="1" ht="15" hidden="1" customHeight="1" outlineLevel="1" x14ac:dyDescent="0.25">
      <c r="A106" s="383"/>
      <c r="B106" s="1877" t="s">
        <v>1086</v>
      </c>
      <c r="C106" s="1874">
        <f>C105/312</f>
        <v>5420.9539183815796</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20512.455000000002</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931.97250000000008</v>
      </c>
      <c r="D112" s="1884" t="s">
        <v>1065</v>
      </c>
      <c r="E112" s="1885"/>
      <c r="F112" s="1885"/>
      <c r="G112" s="1885"/>
      <c r="H112" s="1885"/>
      <c r="AI112" s="1745"/>
    </row>
    <row r="113" spans="1:35" ht="15" hidden="1" customHeight="1" outlineLevel="1" x14ac:dyDescent="0.25">
      <c r="B113" s="1793"/>
      <c r="C113" s="1809">
        <f>C112*312*$C$106/$C$104/1000</f>
        <v>315.25603048360995</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1935.9562500000002</v>
      </c>
      <c r="D115" s="1884" t="s">
        <v>1065</v>
      </c>
      <c r="E115" s="1885"/>
      <c r="F115" s="1885"/>
      <c r="G115" s="1885"/>
      <c r="H115" s="1885"/>
      <c r="AI115" s="1745"/>
    </row>
    <row r="116" spans="1:35" ht="15" hidden="1" customHeight="1" outlineLevel="1" x14ac:dyDescent="0.25">
      <c r="B116" s="1834"/>
      <c r="C116" s="1809">
        <f>C115*312*$C$106/$C$104/1000</f>
        <v>654.87112824137535</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2132.07125</v>
      </c>
      <c r="D118" s="1884" t="s">
        <v>1065</v>
      </c>
      <c r="E118" s="1885"/>
      <c r="F118" s="1885"/>
      <c r="G118" s="1885"/>
      <c r="H118" s="1885"/>
      <c r="AI118" s="1745"/>
    </row>
    <row r="119" spans="1:35" ht="15" hidden="1" customHeight="1" outlineLevel="1" thickBot="1" x14ac:dyDescent="0.3">
      <c r="B119" s="1829"/>
      <c r="C119" s="1913">
        <f>C118*312*$C$106/$C$104/1000</f>
        <v>721.21046381006761</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5" t="s">
        <v>1075</v>
      </c>
      <c r="C121" s="1840"/>
      <c r="D121" s="1826"/>
      <c r="E121" s="1826"/>
      <c r="F121" s="1826"/>
      <c r="G121" s="1826"/>
      <c r="H121" s="1826"/>
    </row>
    <row r="122" spans="1:35" s="1783" customFormat="1" ht="15" hidden="1" customHeight="1" outlineLevel="1" x14ac:dyDescent="0.25">
      <c r="A122" s="383"/>
      <c r="B122" s="2393"/>
      <c r="C122" s="1888">
        <f>'R-Resumo Bal. Massa'!D64</f>
        <v>398.75</v>
      </c>
      <c r="D122" s="1880" t="s">
        <v>1065</v>
      </c>
      <c r="E122" s="1876"/>
      <c r="F122" s="1876"/>
      <c r="G122" s="1876"/>
      <c r="H122" s="1876"/>
      <c r="AI122" s="383"/>
    </row>
    <row r="123" spans="1:35" s="1783" customFormat="1" ht="15" hidden="1" customHeight="1" outlineLevel="1" x14ac:dyDescent="0.25">
      <c r="A123" s="383"/>
      <c r="B123" s="2394"/>
      <c r="C123" s="1809">
        <f>C122*312*$C$106/$C$104/1000</f>
        <v>134.88417539717048</v>
      </c>
      <c r="D123" s="1827" t="s">
        <v>1063</v>
      </c>
      <c r="E123" s="1192"/>
      <c r="F123" s="1192"/>
      <c r="G123" s="1192"/>
      <c r="H123" s="1192"/>
      <c r="AI123" s="383"/>
    </row>
    <row r="124" spans="1:35" ht="15" hidden="1" customHeight="1" outlineLevel="1" x14ac:dyDescent="0.25">
      <c r="B124" s="2392" t="s">
        <v>1081</v>
      </c>
      <c r="C124" s="1839"/>
      <c r="D124" s="1833"/>
      <c r="E124" s="1833"/>
      <c r="F124" s="1833"/>
      <c r="G124" s="1833"/>
      <c r="H124" s="1833"/>
    </row>
    <row r="125" spans="1:35" s="1783" customFormat="1" ht="15" hidden="1" customHeight="1" outlineLevel="1" x14ac:dyDescent="0.25">
      <c r="A125" s="383"/>
      <c r="B125" s="2393"/>
      <c r="C125" s="1888">
        <f>'R-Resumo Bal. Massa'!D73</f>
        <v>897.75</v>
      </c>
      <c r="D125" s="1880" t="s">
        <v>1065</v>
      </c>
      <c r="E125" s="1876"/>
      <c r="F125" s="1876"/>
      <c r="G125" s="1876"/>
      <c r="H125" s="1876"/>
      <c r="AI125" s="383"/>
    </row>
    <row r="126" spans="1:35" s="1783" customFormat="1" ht="15" hidden="1" customHeight="1" outlineLevel="1" x14ac:dyDescent="0.25">
      <c r="A126" s="383"/>
      <c r="B126" s="2394"/>
      <c r="C126" s="1809">
        <f>C125*312*$C$106/$C$104/1000</f>
        <v>303.67967012616873</v>
      </c>
      <c r="D126" s="1827" t="s">
        <v>1063</v>
      </c>
      <c r="E126" s="1192"/>
      <c r="F126" s="1192"/>
      <c r="G126" s="1192"/>
      <c r="H126" s="1192"/>
      <c r="AI126" s="383"/>
    </row>
    <row r="127" spans="1:35" ht="15" hidden="1" customHeight="1" outlineLevel="1" x14ac:dyDescent="0.25">
      <c r="B127" s="2392" t="s">
        <v>1064</v>
      </c>
      <c r="C127" s="1839"/>
      <c r="D127" s="1833"/>
      <c r="E127" s="1833"/>
      <c r="F127" s="1833"/>
      <c r="G127" s="1833"/>
      <c r="H127" s="1833"/>
    </row>
    <row r="128" spans="1:35" s="1783" customFormat="1" ht="15" hidden="1" customHeight="1" outlineLevel="1" x14ac:dyDescent="0.25">
      <c r="A128" s="383"/>
      <c r="B128" s="2393"/>
      <c r="C128" s="1888">
        <f>'R-Resumo Bal. Massa'!D69</f>
        <v>835.57124999999996</v>
      </c>
      <c r="D128" s="1880" t="s">
        <v>1065</v>
      </c>
      <c r="E128" s="1876"/>
      <c r="F128" s="1876"/>
      <c r="G128" s="1876"/>
      <c r="H128" s="1876"/>
      <c r="AI128" s="383"/>
    </row>
    <row r="129" spans="1:35" s="1783" customFormat="1" ht="15" hidden="1" customHeight="1" outlineLevel="1" x14ac:dyDescent="0.25">
      <c r="A129" s="383"/>
      <c r="B129" s="2394"/>
      <c r="C129" s="1809">
        <f>C128*312*$C$106/$C$104/1000</f>
        <v>282.64661828672843</v>
      </c>
      <c r="D129" s="1835" t="s">
        <v>1063</v>
      </c>
      <c r="E129" s="1836"/>
      <c r="F129" s="1836"/>
      <c r="G129" s="1836"/>
      <c r="H129" s="1836"/>
      <c r="AI129" s="383"/>
    </row>
    <row r="130" spans="1:35" s="2099" customFormat="1" ht="15" hidden="1" customHeight="1" outlineLevel="1" x14ac:dyDescent="0.25">
      <c r="A130" s="383"/>
      <c r="B130" s="2392" t="s">
        <v>1124</v>
      </c>
      <c r="C130" s="2101">
        <f>IF('R-Definição'!E112&gt;0,'R-Definição'!O111/'R-Definição'!E112,0)</f>
        <v>0</v>
      </c>
      <c r="D130" s="1796" t="s">
        <v>1125</v>
      </c>
      <c r="E130" s="1192"/>
      <c r="F130" s="1192"/>
      <c r="G130" s="1192"/>
      <c r="H130" s="1192"/>
      <c r="AI130" s="383"/>
    </row>
    <row r="131" spans="1:35" s="2099" customFormat="1" ht="15" hidden="1" customHeight="1" outlineLevel="1" x14ac:dyDescent="0.25">
      <c r="A131" s="383"/>
      <c r="B131" s="2393"/>
      <c r="C131" s="2100">
        <f>C130*C106</f>
        <v>0</v>
      </c>
      <c r="D131" s="1880" t="s">
        <v>1067</v>
      </c>
      <c r="E131" s="1876"/>
      <c r="F131" s="1876"/>
      <c r="G131" s="1876"/>
      <c r="H131" s="1876"/>
      <c r="AI131" s="383"/>
    </row>
    <row r="132" spans="1:35" s="2099" customFormat="1" ht="15" hidden="1" customHeight="1" outlineLevel="1" x14ac:dyDescent="0.25">
      <c r="A132" s="383"/>
      <c r="B132" s="2394"/>
      <c r="C132" s="1867">
        <f>C130*C105/1000</f>
        <v>0</v>
      </c>
      <c r="D132" s="1835" t="s">
        <v>306</v>
      </c>
      <c r="E132" s="1836"/>
      <c r="F132" s="1836"/>
      <c r="G132" s="1836"/>
      <c r="H132" s="1836"/>
      <c r="AI132" s="383"/>
    </row>
    <row r="133" spans="1:35" ht="15" hidden="1" customHeight="1" outlineLevel="1" x14ac:dyDescent="0.25">
      <c r="B133" s="2392" t="s">
        <v>1123</v>
      </c>
      <c r="C133" s="1838">
        <f>IF(AND('R-Definição'!O62&gt;0,'R-Definição'!J65&gt;0),('R-Definição'!O69/('R-Definição'!O62*'R-Definição'!J65/100)),0)</f>
        <v>250.90000000000003</v>
      </c>
      <c r="D133" s="1796" t="s">
        <v>1095</v>
      </c>
      <c r="E133" s="1192"/>
      <c r="F133" s="1192"/>
      <c r="G133" s="1192"/>
      <c r="H133" s="1192"/>
    </row>
    <row r="134" spans="1:35" s="1783" customFormat="1" ht="15" hidden="1" customHeight="1" outlineLevel="1" x14ac:dyDescent="0.25">
      <c r="A134" s="383"/>
      <c r="B134" s="2393"/>
      <c r="C134" s="1916">
        <f>C133*C106*C107</f>
        <v>658296.7916510182</v>
      </c>
      <c r="D134" s="1880" t="s">
        <v>1067</v>
      </c>
      <c r="E134" s="1876"/>
      <c r="F134" s="1876"/>
      <c r="G134" s="1876"/>
      <c r="H134" s="1876"/>
      <c r="AI134" s="383"/>
    </row>
    <row r="135" spans="1:35" s="1783" customFormat="1" ht="15" hidden="1" customHeight="1" outlineLevel="1" x14ac:dyDescent="0.25">
      <c r="A135" s="383"/>
      <c r="B135" s="2394"/>
      <c r="C135" s="1867">
        <f>C133*C105*C107/1000</f>
        <v>205388.59899511767</v>
      </c>
      <c r="D135" s="1835" t="s">
        <v>306</v>
      </c>
      <c r="E135" s="1836"/>
      <c r="F135" s="1836"/>
      <c r="G135" s="1836"/>
      <c r="H135" s="1836"/>
      <c r="AI135" s="383"/>
    </row>
    <row r="136" spans="1:35" ht="15" hidden="1" customHeight="1" outlineLevel="1" x14ac:dyDescent="0.25">
      <c r="B136" s="2392" t="s">
        <v>238</v>
      </c>
      <c r="C136" s="1838">
        <f>IF(AND('R-Definição'!O62&gt;0,'R-Definição'!J64&gt;0),('R-Definição'!O70/('R-Definição'!O62*'R-Definição'!J64/100)),0)</f>
        <v>62.725000000000009</v>
      </c>
      <c r="D136" s="1917" t="s">
        <v>1096</v>
      </c>
      <c r="E136" s="1192"/>
      <c r="F136" s="1192"/>
      <c r="G136" s="1192"/>
      <c r="H136" s="1192"/>
    </row>
    <row r="137" spans="1:35" s="1783" customFormat="1" ht="15" hidden="1" customHeight="1" outlineLevel="1" x14ac:dyDescent="0.25">
      <c r="A137" s="383"/>
      <c r="B137" s="2393"/>
      <c r="C137" s="1916">
        <f>C136*C106*C107</f>
        <v>164574.19791275455</v>
      </c>
      <c r="D137" s="1880" t="s">
        <v>1068</v>
      </c>
      <c r="E137" s="1876"/>
      <c r="F137" s="1876"/>
      <c r="G137" s="1876"/>
      <c r="H137" s="1876"/>
      <c r="AI137" s="383"/>
    </row>
    <row r="138" spans="1:35" s="1783" customFormat="1" ht="15" hidden="1" customHeight="1" outlineLevel="1" x14ac:dyDescent="0.25">
      <c r="A138" s="383"/>
      <c r="B138" s="2393"/>
      <c r="C138" s="1867">
        <f>C136*C105*C107</f>
        <v>51347149.748779416</v>
      </c>
      <c r="D138" s="1884" t="s">
        <v>1077</v>
      </c>
      <c r="E138" s="1876"/>
      <c r="F138" s="1876"/>
      <c r="G138" s="1876"/>
      <c r="H138" s="1876"/>
      <c r="AI138" s="383"/>
    </row>
    <row r="139" spans="1:35" ht="15" hidden="1" customHeight="1" outlineLevel="1" thickBot="1" x14ac:dyDescent="0.3">
      <c r="B139" s="1886" t="s">
        <v>1076</v>
      </c>
      <c r="C139" s="1868">
        <f>(C138*90%)/1000</f>
        <v>46212.434773901477</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913AE-2FE2-42F7-9A60-34F6387E1DAA}">
  <sheetPr codeName="Planilha1"/>
  <dimension ref="D7:P21"/>
  <sheetViews>
    <sheetView workbookViewId="0">
      <selection activeCell="P22" sqref="P22"/>
    </sheetView>
  </sheetViews>
  <sheetFormatPr defaultRowHeight="15" x14ac:dyDescent="0.25"/>
  <sheetData>
    <row r="7" spans="4:16" x14ac:dyDescent="0.25">
      <c r="F7" t="s">
        <v>1126</v>
      </c>
      <c r="G7" s="2105">
        <v>0</v>
      </c>
      <c r="H7" s="2105">
        <v>25</v>
      </c>
      <c r="I7" s="2105">
        <v>75</v>
      </c>
      <c r="J7" s="2105">
        <v>150</v>
      </c>
      <c r="K7" s="2105">
        <v>250</v>
      </c>
      <c r="L7" s="2105">
        <v>350</v>
      </c>
      <c r="M7" s="2105">
        <v>700</v>
      </c>
      <c r="N7" s="2105">
        <v>1250</v>
      </c>
      <c r="O7" s="2105">
        <v>2500</v>
      </c>
      <c r="P7" s="2105">
        <v>5000</v>
      </c>
    </row>
    <row r="8" spans="4:16" x14ac:dyDescent="0.25">
      <c r="F8" t="s">
        <v>489</v>
      </c>
      <c r="G8" s="2105"/>
      <c r="H8" s="2105">
        <v>4572.8065095836992</v>
      </c>
      <c r="I8" s="2105">
        <v>3578.117397670841</v>
      </c>
      <c r="J8" s="2105">
        <v>3140.2033317437476</v>
      </c>
      <c r="K8" s="2105">
        <v>2384.1580606429065</v>
      </c>
      <c r="L8" s="2105">
        <v>2051.2096531725124</v>
      </c>
      <c r="M8" s="2105">
        <v>1637.8810466364127</v>
      </c>
      <c r="N8" s="2105">
        <v>1575.9559653452941</v>
      </c>
      <c r="O8" s="2105">
        <v>1218.0200710014474</v>
      </c>
      <c r="P8" s="2105">
        <v>742.96386883270225</v>
      </c>
    </row>
    <row r="9" spans="4:16" x14ac:dyDescent="0.25">
      <c r="F9" t="s">
        <v>1127</v>
      </c>
      <c r="G9" s="2105"/>
      <c r="H9" s="2105">
        <v>619.80683587625879</v>
      </c>
      <c r="I9" s="2105">
        <v>543.98797162874689</v>
      </c>
      <c r="J9" s="2105">
        <v>390.06808391546417</v>
      </c>
      <c r="K9" s="2105">
        <v>269.22835410418679</v>
      </c>
      <c r="L9" s="2105">
        <v>233.89554658665418</v>
      </c>
      <c r="M9" s="2105">
        <v>170.92408612423577</v>
      </c>
      <c r="N9" s="2105">
        <v>142.06366360529296</v>
      </c>
      <c r="O9" s="2105">
        <v>114.79350944326163</v>
      </c>
      <c r="P9" s="2105">
        <v>53.222800512828414</v>
      </c>
    </row>
    <row r="11" spans="4:16" x14ac:dyDescent="0.25">
      <c r="F11" s="2102" t="s">
        <v>1128</v>
      </c>
      <c r="G11" s="2105">
        <v>0</v>
      </c>
      <c r="H11" s="2105">
        <v>25</v>
      </c>
      <c r="I11" s="2105">
        <v>75</v>
      </c>
      <c r="J11" s="2105">
        <v>150</v>
      </c>
      <c r="K11" s="2105">
        <v>250</v>
      </c>
      <c r="L11" s="2105">
        <v>350</v>
      </c>
      <c r="M11" s="2105">
        <v>700</v>
      </c>
      <c r="N11" s="2105">
        <v>1250</v>
      </c>
      <c r="O11" s="2105">
        <v>2500</v>
      </c>
      <c r="P11" s="2105">
        <v>5000</v>
      </c>
    </row>
    <row r="12" spans="4:16" x14ac:dyDescent="0.25">
      <c r="D12" s="2103"/>
      <c r="F12" s="2102" t="s">
        <v>489</v>
      </c>
      <c r="H12" s="2105">
        <v>4603</v>
      </c>
      <c r="I12" s="2105">
        <v>3609</v>
      </c>
      <c r="J12" s="2105">
        <v>2305</v>
      </c>
      <c r="K12" s="2105">
        <v>1701</v>
      </c>
      <c r="L12" s="2105">
        <v>1483</v>
      </c>
      <c r="M12" s="2105">
        <v>1174</v>
      </c>
      <c r="N12" s="2105">
        <v>1071</v>
      </c>
      <c r="O12" s="2105">
        <v>789</v>
      </c>
      <c r="P12" s="2105">
        <v>161</v>
      </c>
    </row>
    <row r="13" spans="4:16" x14ac:dyDescent="0.25">
      <c r="D13" s="2104"/>
      <c r="F13" s="2102" t="s">
        <v>1127</v>
      </c>
      <c r="H13" s="2105">
        <v>627</v>
      </c>
      <c r="I13" s="2105">
        <v>525</v>
      </c>
      <c r="J13" s="2105">
        <v>327</v>
      </c>
      <c r="K13" s="2105">
        <v>229</v>
      </c>
      <c r="L13" s="2105">
        <v>196</v>
      </c>
      <c r="M13" s="2105">
        <v>144</v>
      </c>
      <c r="N13" s="2105">
        <v>116</v>
      </c>
      <c r="O13" s="2105">
        <v>95</v>
      </c>
      <c r="P13" s="2105">
        <v>36</v>
      </c>
    </row>
    <row r="15" spans="4:16" x14ac:dyDescent="0.25">
      <c r="F15" s="2102" t="s">
        <v>1129</v>
      </c>
      <c r="G15" s="2105">
        <v>0</v>
      </c>
      <c r="H15" s="2105">
        <v>25</v>
      </c>
      <c r="I15" s="2105">
        <v>75</v>
      </c>
      <c r="J15" s="2105">
        <v>150</v>
      </c>
      <c r="K15" s="2105">
        <v>250</v>
      </c>
      <c r="L15" s="2105">
        <v>350</v>
      </c>
      <c r="M15" s="2105">
        <v>700</v>
      </c>
      <c r="N15" s="2105">
        <v>1250</v>
      </c>
      <c r="O15" s="2105">
        <v>2500</v>
      </c>
      <c r="P15" s="2105">
        <v>5000</v>
      </c>
    </row>
    <row r="16" spans="4:16" x14ac:dyDescent="0.25">
      <c r="F16" s="2102" t="s">
        <v>489</v>
      </c>
      <c r="G16" s="2102"/>
      <c r="H16" s="2105">
        <v>5968</v>
      </c>
      <c r="I16" s="2105">
        <v>4894</v>
      </c>
      <c r="J16" s="2105">
        <v>3365</v>
      </c>
      <c r="K16" s="2105">
        <v>2848</v>
      </c>
      <c r="L16" s="2105">
        <v>2651</v>
      </c>
      <c r="M16" s="2105">
        <v>1802</v>
      </c>
      <c r="N16" s="2105">
        <v>1668</v>
      </c>
      <c r="O16" s="2105">
        <v>1600</v>
      </c>
      <c r="P16" s="2105">
        <v>144</v>
      </c>
    </row>
    <row r="17" spans="6:16" x14ac:dyDescent="0.25">
      <c r="F17" s="2102" t="s">
        <v>1127</v>
      </c>
      <c r="G17" s="2102"/>
      <c r="H17" s="2105">
        <v>846</v>
      </c>
      <c r="I17" s="2105">
        <v>626</v>
      </c>
      <c r="J17" s="2105">
        <v>364</v>
      </c>
      <c r="K17" s="2105">
        <v>261</v>
      </c>
      <c r="L17" s="2105">
        <v>257</v>
      </c>
      <c r="M17" s="2105">
        <v>167</v>
      </c>
      <c r="N17" s="2105">
        <v>139</v>
      </c>
      <c r="O17" s="2105">
        <v>126</v>
      </c>
      <c r="P17" s="2105">
        <v>32</v>
      </c>
    </row>
    <row r="19" spans="6:16" x14ac:dyDescent="0.25">
      <c r="F19" s="2102" t="s">
        <v>1130</v>
      </c>
      <c r="G19" s="2105">
        <v>0</v>
      </c>
      <c r="H19" s="2105">
        <v>25</v>
      </c>
      <c r="I19" s="2105">
        <v>75</v>
      </c>
      <c r="J19" s="2105">
        <v>150</v>
      </c>
      <c r="K19" s="2105">
        <v>250</v>
      </c>
      <c r="L19" s="2105">
        <v>350</v>
      </c>
      <c r="M19" s="2105">
        <v>700</v>
      </c>
      <c r="N19" s="2105">
        <v>1250</v>
      </c>
      <c r="O19" s="2105">
        <v>2500</v>
      </c>
      <c r="P19" s="2105">
        <v>5000</v>
      </c>
    </row>
    <row r="20" spans="6:16" x14ac:dyDescent="0.25">
      <c r="F20" s="2102" t="s">
        <v>489</v>
      </c>
      <c r="G20" s="2102"/>
      <c r="H20" s="2105">
        <v>12934</v>
      </c>
      <c r="I20" s="2105">
        <v>7226</v>
      </c>
      <c r="J20" s="2105">
        <v>5724</v>
      </c>
      <c r="K20" s="2105">
        <v>5037</v>
      </c>
      <c r="L20" s="2105">
        <v>4674</v>
      </c>
      <c r="M20" s="2105">
        <v>3947</v>
      </c>
      <c r="N20" s="2105">
        <v>4031</v>
      </c>
      <c r="O20" s="2105">
        <v>3570</v>
      </c>
      <c r="P20" s="2105">
        <v>3589</v>
      </c>
    </row>
    <row r="21" spans="6:16" x14ac:dyDescent="0.25">
      <c r="F21" s="2102" t="s">
        <v>1127</v>
      </c>
      <c r="G21" s="2102"/>
      <c r="H21" s="2105">
        <v>2828</v>
      </c>
      <c r="I21" s="2105">
        <v>1049</v>
      </c>
      <c r="J21" s="2105">
        <v>603</v>
      </c>
      <c r="K21" s="2105">
        <v>423</v>
      </c>
      <c r="L21" s="2105">
        <v>344</v>
      </c>
      <c r="M21" s="2105">
        <v>240</v>
      </c>
      <c r="N21" s="2105">
        <v>207</v>
      </c>
      <c r="O21" s="2105">
        <v>179</v>
      </c>
      <c r="P21" s="2105">
        <v>165</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10"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10"/>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8" t="str">
        <f>'R-Definição'!D2</f>
        <v>CIRSOP - Consórcio RSU Oeste Paulista</v>
      </c>
      <c r="R2" s="2409"/>
      <c r="S2" s="1051"/>
      <c r="T2" s="1053" t="s">
        <v>486</v>
      </c>
      <c r="U2" s="2408" t="str">
        <f>'R-Definição'!D3</f>
        <v>Biodigestão c/ Prod. E. Elétrica</v>
      </c>
      <c r="V2" s="2409"/>
      <c r="W2" s="353"/>
      <c r="X2" s="353"/>
      <c r="Y2" s="353"/>
      <c r="Z2" s="353"/>
      <c r="AA2" s="353"/>
      <c r="AB2" s="353"/>
    </row>
    <row r="3" spans="1:28" s="352" customFormat="1" ht="19.899999999999999" customHeight="1" x14ac:dyDescent="0.25">
      <c r="A3" s="478"/>
      <c r="B3" s="2410"/>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402" t="s">
        <v>691</v>
      </c>
      <c r="C9" s="1099"/>
      <c r="D9" s="2405" t="s">
        <v>696</v>
      </c>
      <c r="E9" s="2406"/>
      <c r="F9" s="2406"/>
      <c r="G9" s="2406"/>
      <c r="H9" s="2406"/>
      <c r="I9" s="2406"/>
      <c r="J9" s="2406"/>
      <c r="K9" s="2406"/>
      <c r="L9" s="2406"/>
      <c r="M9" s="2406"/>
      <c r="N9" s="2406"/>
      <c r="O9" s="2406"/>
      <c r="P9" s="2406"/>
      <c r="Q9" s="2406"/>
      <c r="R9" s="2406"/>
      <c r="S9" s="2406"/>
      <c r="T9" s="2406"/>
      <c r="U9" s="2406"/>
      <c r="V9" s="2407"/>
      <c r="W9" s="1046"/>
      <c r="X9" s="1046"/>
      <c r="Y9" s="1046"/>
      <c r="Z9" s="1046"/>
      <c r="AA9" s="1046"/>
      <c r="AB9" s="1046"/>
    </row>
    <row r="10" spans="1:28" s="352" customFormat="1" ht="7.5" customHeight="1" x14ac:dyDescent="0.25">
      <c r="A10" s="478"/>
      <c r="B10" s="2403"/>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4"/>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C1" zoomScale="75" zoomScaleNormal="75" workbookViewId="0">
      <selection activeCell="AA15" sqref="AA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8" width="8.7109375" customWidth="1"/>
  </cols>
  <sheetData>
    <row r="1" spans="1:28" ht="19.899999999999999" customHeight="1" x14ac:dyDescent="0.25">
      <c r="A1" s="448"/>
      <c r="B1" s="2417"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7"/>
      <c r="C2" s="487"/>
      <c r="D2" s="1097">
        <f>('R-Resumo Bal. Massa'!B20+'R-Resumo Bal. Massa'!B21)*(1+'R&amp;C-Painel de Controle'!H56)</f>
        <v>5000</v>
      </c>
      <c r="E2" s="1098" t="s">
        <v>21</v>
      </c>
      <c r="H2" s="1305">
        <f>D2*313</f>
        <v>1565000</v>
      </c>
      <c r="I2" s="1304" t="s">
        <v>298</v>
      </c>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row>
    <row r="3" spans="1:28"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11" t="s">
        <v>691</v>
      </c>
      <c r="C9" s="1099"/>
      <c r="D9" s="2414" t="s">
        <v>695</v>
      </c>
      <c r="E9" s="2415"/>
      <c r="F9" s="2415"/>
      <c r="G9" s="2415"/>
      <c r="H9" s="2415"/>
      <c r="I9" s="2415"/>
      <c r="J9" s="2415"/>
      <c r="K9" s="2415"/>
      <c r="L9" s="2415"/>
      <c r="M9" s="2415"/>
      <c r="N9" s="2415"/>
      <c r="O9" s="2415"/>
      <c r="P9" s="2415"/>
      <c r="Q9" s="2415"/>
      <c r="R9" s="2415"/>
      <c r="S9" s="2415"/>
      <c r="T9" s="2415"/>
      <c r="U9" s="2415"/>
      <c r="V9" s="2416"/>
      <c r="W9" s="1269"/>
      <c r="X9" s="1079"/>
      <c r="Y9" s="1079"/>
      <c r="Z9" s="1079"/>
      <c r="AA9" s="1079"/>
      <c r="AB9" s="1079"/>
    </row>
    <row r="10" spans="1:28" s="1076" customFormat="1" ht="7.5" customHeight="1" x14ac:dyDescent="0.3">
      <c r="A10" s="118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13"/>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t="str">
        <f>(IF(E$7="SIM",(((D17-F17)*'R&amp;C-Painel de Controle'!$D$57+F17*('R&amp;C-Painel de Controle'!$D$60)+(((75)+(15+E30/5*30)+(25+E30/10*25))*D16)))/1000000,"-"))</f>
        <v>-</v>
      </c>
      <c r="F16" s="1117">
        <v>0.05</v>
      </c>
      <c r="G16" s="1058"/>
      <c r="H16" s="1116">
        <v>2000</v>
      </c>
      <c r="I16" s="1035" t="str">
        <f>(IF(I$7="SIM",(((H17-J17)*'R&amp;C-Painel de Controle'!$D$57+J17*('R&amp;C-Painel de Controle'!$D$60)+(((150)+(15+I30/5*30)+(25+I30/10*25))*H16)))/1000000,"-"))</f>
        <v>-</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t="str">
        <f>IF(E7="SIM",(E15+E16)*F18*1000/$H$2,"-")</f>
        <v>-</v>
      </c>
      <c r="E18" s="1035" t="str">
        <f>(IF(E$7="SIM",$H$2*D18/1000,"-"))</f>
        <v>-</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x14ac:dyDescent="0.25">
      <c r="A27" s="1187"/>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t="str">
        <f>(IF(E$7="SIM",7.5+1.5*'R&amp;C-Painel de Controle'!$D$74,"-"))</f>
        <v>-</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899999999999999" customHeight="1" x14ac:dyDescent="0.3">
      <c r="A43" s="118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7"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7"/>
      <c r="C2" s="487"/>
      <c r="D2" s="1097">
        <f>'R-Resumo Bal. Massa'!B30*(1+'R&amp;C-Painel de Controle'!H59)</f>
        <v>1890</v>
      </c>
      <c r="E2" s="1098" t="s">
        <v>21</v>
      </c>
      <c r="F2" s="1069"/>
      <c r="G2" s="1069"/>
      <c r="H2" s="1305">
        <f>D2*313</f>
        <v>591570</v>
      </c>
      <c r="I2" s="1304" t="s">
        <v>298</v>
      </c>
      <c r="J2" s="1069"/>
      <c r="K2" s="1069"/>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7"/>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11" t="s">
        <v>691</v>
      </c>
      <c r="C9" s="1099"/>
      <c r="D9" s="2414" t="s">
        <v>697</v>
      </c>
      <c r="E9" s="2415"/>
      <c r="F9" s="2415"/>
      <c r="G9" s="2415"/>
      <c r="H9" s="2415"/>
      <c r="I9" s="2415"/>
      <c r="J9" s="2415"/>
      <c r="K9" s="2415"/>
      <c r="L9" s="2415"/>
      <c r="M9" s="2415"/>
      <c r="N9" s="2415"/>
      <c r="O9" s="2415"/>
      <c r="P9" s="2415"/>
      <c r="Q9" s="2415"/>
      <c r="R9" s="2415"/>
      <c r="S9" s="2415"/>
      <c r="T9" s="2415"/>
      <c r="U9" s="2415"/>
      <c r="V9" s="2416"/>
    </row>
    <row r="10" spans="1:61" ht="7.5" customHeight="1" x14ac:dyDescent="0.25">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13"/>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7"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7"/>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11" t="s">
        <v>691</v>
      </c>
      <c r="C9" s="1099"/>
      <c r="D9" s="2414" t="s">
        <v>698</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13"/>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7"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7"/>
      <c r="C2" s="487"/>
      <c r="D2" s="1097">
        <f>'R-Resumo Bal. Massa'!B35*(1+'R&amp;C-Painel de Controle'!H68)</f>
        <v>1856.825</v>
      </c>
      <c r="E2" s="1098" t="s">
        <v>440</v>
      </c>
      <c r="F2" s="1087"/>
      <c r="G2" s="1087"/>
      <c r="H2" s="1305">
        <f>D2*313</f>
        <v>581186.22499999998</v>
      </c>
      <c r="I2" s="1304" t="s">
        <v>441</v>
      </c>
      <c r="J2" s="1087"/>
      <c r="K2" s="108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198"/>
    </row>
    <row r="3" spans="1:61" ht="19.899999999999999" customHeight="1" x14ac:dyDescent="0.25">
      <c r="A3" s="939"/>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11" t="s">
        <v>691</v>
      </c>
      <c r="C9" s="1099"/>
      <c r="D9" s="2414" t="s">
        <v>699</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row>
    <row r="10" spans="1:61" ht="7.5" customHeight="1" x14ac:dyDescent="0.25">
      <c r="A10" s="93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13"/>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7"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7"/>
      <c r="C2" s="487"/>
      <c r="D2" s="1097">
        <f>'R-Resumo Bal. Massa'!B34*(1+'R&amp;C-Painel de Controle'!H65)</f>
        <v>2184.5</v>
      </c>
      <c r="E2" s="1098" t="s">
        <v>21</v>
      </c>
      <c r="F2" s="1087"/>
      <c r="G2" s="1087"/>
      <c r="H2" s="1305">
        <f>D2*313</f>
        <v>683748.5</v>
      </c>
      <c r="I2" s="1304" t="s">
        <v>298</v>
      </c>
      <c r="J2" s="1087"/>
      <c r="K2" s="108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341"/>
    </row>
    <row r="3" spans="1:28"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SIM</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11" t="s">
        <v>691</v>
      </c>
      <c r="C9" s="1099"/>
      <c r="D9" s="2414" t="s">
        <v>702</v>
      </c>
      <c r="E9" s="2415"/>
      <c r="F9" s="2415"/>
      <c r="G9" s="2415"/>
      <c r="H9" s="2415"/>
      <c r="I9" s="2415"/>
      <c r="J9" s="2415"/>
      <c r="K9" s="2415"/>
      <c r="L9" s="2415"/>
      <c r="M9" s="2415"/>
      <c r="N9" s="2415"/>
      <c r="O9" s="2415"/>
      <c r="P9" s="2415"/>
      <c r="Q9" s="2415"/>
      <c r="R9" s="2415"/>
      <c r="S9" s="2415"/>
      <c r="T9" s="2415"/>
      <c r="U9" s="2415"/>
      <c r="V9" s="2416"/>
      <c r="W9" s="1299"/>
      <c r="X9" s="1299"/>
      <c r="Y9" s="1299"/>
      <c r="Z9" s="1299"/>
      <c r="AA9" s="1313"/>
      <c r="AB9" s="1079"/>
    </row>
    <row r="10" spans="1:28" ht="7.5" customHeight="1" x14ac:dyDescent="0.25">
      <c r="A10" s="448"/>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13"/>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333.10050934215099</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452.68423971050856</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f>(IF(U$7="SIM",2*(20*(20+(SQRT(V17))+20))+2*(20*(V17/(SQRT(V17))))+V17,"-"))</f>
        <v>323520.52082365868</v>
      </c>
      <c r="U17" s="1035">
        <f>(IF(U$7="SIM",('R&amp;C-Painel de Controle'!$D$55+0.25)*T17/1000000,"-"))</f>
        <v>8.0880130205914669E-2</v>
      </c>
      <c r="V17" s="1119">
        <f>IF(U7="SIM",(U22*U24)/0.0825,"-")</f>
        <v>279617.4293542715</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f>IF(U7="SIM",(U15+U16)*V18*1000/$H$2,"-")</f>
        <v>8.6192300500768135E-2</v>
      </c>
      <c r="U18" s="1035">
        <f>(IF(U$7="SIM",$H$2*T18/1000,""))</f>
        <v>58.933856178949462</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f>IF(U7="SIM",(SUM(U15:U18)+(IF('R-Definição'!$J$59&gt;0,U52*$H$2,IF('R-Definição'!$J$59&gt;0,U50*$H$2,0)))/1000000)*(1+T19),"-")</f>
        <v>887.03945962990576</v>
      </c>
      <c r="V19" s="1303">
        <f>IF(U7="SIM",(U16)/U19,"-")</f>
        <v>0.51033156957795245</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f>IF(U7="SIM",U19*1000000/$H$2,"-")</f>
        <v>1297.318326299664</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160.88200000000001</v>
      </c>
      <c r="E22" s="338">
        <f>((($H$2/0.57)/52)*(E23))/(3.5*E24)</f>
        <v>174.76089334641969</v>
      </c>
      <c r="F22" s="378"/>
      <c r="G22" s="933"/>
      <c r="H22" s="387">
        <f>$H$2/4250</f>
        <v>160.88200000000001</v>
      </c>
      <c r="I22" s="338">
        <f>((($H$2/0.57)/52)*(I23))/(3.5*I24)</f>
        <v>161.31774770438741</v>
      </c>
      <c r="J22" s="378"/>
      <c r="K22" s="933"/>
      <c r="L22" s="387">
        <f>$H$2/4250</f>
        <v>160.88200000000001</v>
      </c>
      <c r="M22" s="338">
        <f>((($H$2/0.57)/52)*(M23))/(3.5*M24)</f>
        <v>127.09883152466887</v>
      </c>
      <c r="N22" s="378"/>
      <c r="O22" s="933"/>
      <c r="P22" s="387">
        <f>$H$2/4250</f>
        <v>160.88200000000001</v>
      </c>
      <c r="Q22" s="338">
        <f>((($H$2/0.57)/52)*(Q23))/(3.5*Q24)</f>
        <v>104.85653600785182</v>
      </c>
      <c r="R22" s="378"/>
      <c r="S22" s="933"/>
      <c r="T22" s="387">
        <f>$H$2/4250</f>
        <v>160.88200000000001</v>
      </c>
      <c r="U22" s="338">
        <f>((($H$2/0.57)/52)*(U23))/(3.5*U24)</f>
        <v>76.894793072424662</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f>IF(U7="SIM",(U15*V15+U16*V16)/4,"-")</f>
        <v>13.986065729935131</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f>(IF(U$7="SIM",(U34)*2.4*12/$H$2,"-"))</f>
        <v>8.6768746110594765</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f>(IF(U$7="SIM",(U36*$H$2/1000*'R&amp;C-Painel de Controle'!$D$68+U37/1000*'R&amp;C-Painel de Controle'!$D$69*12)/$H$2,"-"))</f>
        <v>0</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f>(IF(U$7="SIM",(U15*1000000*U39+U40*12)/$H$2,"-"))</f>
        <v>25.67468223638889</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f>(IF(U$7="SIM",T41*U42*U43*12/$H$2,"-"))</f>
        <v>2.1937890905793576</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f>(IF(U$7="SIM",2.5+2.5*'R&amp;C-Painel de Controle'!$D$74,"-"))</f>
        <v>10</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f>(IF(U$7="SIM",((U30+U35+U38+U41+U44)+(IF('R-Definição'!$J$59&gt;0,U53,IF('R-Definição'!$J$59&gt;0,U51,0))))*(1+T45),"-"))</f>
        <v>48.872613234929112</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f>(IF(U$7="SIM",U45*$H$2/1000000,"-"))</f>
        <v>33.416575990462931</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f>(IF(U$7="SIM",(((U30*$H$2/12)+(U37/1000*'R&amp;C-Painel de Controle'!$D$69*12)+(U40*12)+(U42*U43*12))/1000000),"-"))</f>
        <v>4.3944000000000001</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f>(IF(U$7="SIM",((U46-U47)*1000000)/$H$2,"-"))</f>
        <v>42.445688715167826</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7"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7"/>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7"/>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11" t="s">
        <v>691</v>
      </c>
      <c r="C9" s="1099"/>
      <c r="D9" s="2414" t="s">
        <v>448</v>
      </c>
      <c r="E9" s="2415"/>
      <c r="F9" s="2415"/>
      <c r="G9" s="2415"/>
      <c r="H9" s="2415"/>
      <c r="I9" s="2415"/>
      <c r="J9" s="2415"/>
      <c r="K9" s="2415"/>
      <c r="L9" s="2415"/>
      <c r="M9" s="2415"/>
      <c r="N9" s="2415"/>
      <c r="O9" s="2415"/>
      <c r="P9" s="2415"/>
      <c r="Q9" s="2415"/>
      <c r="R9" s="2415"/>
      <c r="S9" s="2415"/>
      <c r="T9" s="2415"/>
      <c r="U9" s="2415"/>
      <c r="V9" s="2416"/>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13"/>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19" sqref="M19"/>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7"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7"/>
      <c r="C2" s="487"/>
      <c r="D2" s="1097">
        <f>IF('R-Definição'!E121="Novo",('R-Resumo Bal. Massa'!B47+'R&amp;C-Painel de Controle'!D31)*(1+'R&amp;C-Painel de Controle'!H74),0)</f>
        <v>1995.9562500000002</v>
      </c>
      <c r="E2" s="1098" t="s">
        <v>21</v>
      </c>
      <c r="F2" s="1307"/>
      <c r="G2" s="1307"/>
      <c r="H2" s="1305">
        <f>D2*313</f>
        <v>624734.30625000002</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7"/>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SIM</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11" t="s">
        <v>691</v>
      </c>
      <c r="C9" s="1099"/>
      <c r="D9" s="2414" t="s">
        <v>451</v>
      </c>
      <c r="E9" s="2415"/>
      <c r="F9" s="2415"/>
      <c r="G9" s="2415"/>
      <c r="H9" s="2415"/>
      <c r="I9" s="2415"/>
      <c r="J9" s="2415"/>
      <c r="K9" s="2415"/>
      <c r="L9" s="2415"/>
      <c r="M9" s="2415"/>
      <c r="N9" s="2415"/>
      <c r="O9" s="2415"/>
      <c r="P9" s="2415"/>
      <c r="Q9" s="2415"/>
      <c r="R9" s="2415"/>
      <c r="S9" s="2415"/>
      <c r="T9" s="2415"/>
      <c r="U9" s="2415"/>
      <c r="V9" s="2416"/>
    </row>
    <row r="10" spans="1:61" ht="7.5" customHeight="1" x14ac:dyDescent="0.25">
      <c r="A10" s="476"/>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13"/>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t="str">
        <f>(IF(M$7="SIM",L15*(1-(($D$2-L$11)/(N$11-L$11)))+N15*(1-((N$11-$D$2)/(N$11-L$11))),"-"))</f>
        <v>-</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f>(IF(U$7="SIM",T15*(1-(($D$2-T$11)/(V$11-T$11)))+V15*(1-((V$11-$D$2)/(V$11-T$11))),"-"))</f>
        <v>2.0508174688489587</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t="str">
        <f>(IF(M$7="SIM",L16*(1-(($D$2-L$11)/(N$11-L$11)))+N16*(1-((N$11-$D$2)/(N$11-L$11))),"-"))</f>
        <v>-</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f>(IF(U$7="SIM",T16*(1-(($D$2-T$11)/(V$11-T$11)))+V16*(1-((V$11-$D$2)/(V$11-T$11))),"-"))</f>
        <v>59.470296091343755</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t="str">
        <f>(IF(M$7="SIM",(L17*(1-(($D$2-L$11)/(N$11-L$11)))+N17*(1-((N$11-$D$2)/(N$11-L$11))))*10000*('R&amp;C-Painel de Controle'!$D$56+0.18)/1000000,"-"))</f>
        <v>-</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f>(IF(U$7="SIM",(T17*(1-(($D$2-T$11)/(V$11-T$11)))+V17*(1-((V$11-$D$2)/(V$11-T$11))))*10000*('R&amp;C-Painel de Controle'!$D$56+0.18)/1000000,"-"))</f>
        <v>16.316325971957813</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t="str">
        <f>IF(I7="SIM",SUM(I15:I17),"-")</f>
        <v>-</v>
      </c>
      <c r="J18" s="1459"/>
      <c r="K18" s="1454"/>
      <c r="L18" s="1458"/>
      <c r="M18" s="1456" t="str">
        <f>IF(M7="SIM",SUM(M15:M17),"-")</f>
        <v>-</v>
      </c>
      <c r="N18" s="1459"/>
      <c r="O18" s="1454"/>
      <c r="P18" s="1458"/>
      <c r="Q18" s="1456" t="str">
        <f>IF(Q7="SIM",SUM(Q15:Q17),"-")</f>
        <v>-</v>
      </c>
      <c r="R18" s="1459"/>
      <c r="S18" s="1454"/>
      <c r="T18" s="1458"/>
      <c r="U18" s="1456">
        <f>IF(U7="SIM",SUM(U15:U17),"-")</f>
        <v>77.837439532150526</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t="str">
        <f>IF(I7="SIM",I18*1000000/$H$2,"-")</f>
        <v>-</v>
      </c>
      <c r="J19" s="1438"/>
      <c r="K19" s="724"/>
      <c r="L19" s="1437"/>
      <c r="M19" s="338" t="str">
        <f>IF(M7="SIM",M18*1000000/$H$2,"-")</f>
        <v>-</v>
      </c>
      <c r="N19" s="1438"/>
      <c r="O19" s="724"/>
      <c r="P19" s="1437"/>
      <c r="Q19" s="338" t="str">
        <f>IF(Q7="SIM",Q18*1000000/$H$2,"-")</f>
        <v>-</v>
      </c>
      <c r="R19" s="1438"/>
      <c r="S19" s="724"/>
      <c r="T19" s="1437"/>
      <c r="U19" s="338">
        <f>IF(U7="SIM",U18*1000000/$H$2,"-")</f>
        <v>124.59286892594994</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t="str">
        <f>(IF(M$7="SIM",L21*(1-(($D$2-L11)/(N11-L11)))+N21*(1-((N11-$D$2)/(N11-L11))),"-"))</f>
        <v>-</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f>(IF(U$7="SIM",T21*(1-(($D$2-T11)/(V11-T11)))+V21*(1-((V11-$D$2)/(V11-T11))),"-"))</f>
        <v>30.433612603466148</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t="str">
        <f>(IF(M$7="SIM",L22*(1-(($D$2-L11)/(N11-L11)))+N22*(1-((N11-$D$2)/(N11-L11))),"-"))</f>
        <v>-</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f>(IF(U$7="SIM",T22*(1-(($D$2-T11)/(V11-T11)))+V22*(1-((V11-$D$2)/(V11-T11))),"-"))</f>
        <v>74.390400261006491</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t="str">
        <f>(IF(I$7="SIM",I27+I28,"-"))</f>
        <v>-</v>
      </c>
      <c r="J26" s="1401"/>
      <c r="K26" s="1384"/>
      <c r="L26" s="1400"/>
      <c r="M26" s="412" t="str">
        <f>(IF(M$7="SIM",M27+M28,"-"))</f>
        <v>-</v>
      </c>
      <c r="N26" s="1401"/>
      <c r="O26" s="1384"/>
      <c r="P26" s="1400"/>
      <c r="Q26" s="412" t="str">
        <f>(IF(Q$7="SIM",Q27+Q28,"-"))</f>
        <v>-</v>
      </c>
      <c r="R26" s="1401"/>
      <c r="S26" s="1384"/>
      <c r="T26" s="1400"/>
      <c r="U26" s="412">
        <f>(IF(U$7="SIM",U27+U28,"-"))</f>
        <v>5.0891912588349557</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t="str">
        <f>(IF(M$7="SIM",(L27*(1-(($D$2-L$11)/(N$11-L$11)))+N27*(1-((N$11-$D$2)/(N$11-L$11))))/1000000,"-"))</f>
        <v>-</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f>(IF(U$7="SIM",(T27*(1-(($D$2-T$11)/(V$11-T$11)))+V27*(1-((V$11-$D$2)/(V$11-T$11))))/1000000,"-"))</f>
        <v>2.6632946875421841</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t="str">
        <f>(IF(M$7="SIM",(L28*(1-(($D$2-L$11)/(N$11-L$11)))+N28*(1-((N$11-$D$2)/(N$11-L$11))))/1000000,"-"))</f>
        <v>-</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f>(IF(U$7="SIM",(T28*(1-(($D$2-T$11)/(V$11-T$11)))+V28*(1-((V$11-$D$2)/(V$11-T$11))))/1000000,"-"))</f>
        <v>2.4258965712927716</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t="str">
        <f>(IF(I$7="SIM",I30,"-"))</f>
        <v>-</v>
      </c>
      <c r="J29" s="1403"/>
      <c r="K29" s="1387"/>
      <c r="L29" s="1402"/>
      <c r="M29" s="412" t="str">
        <f>(IF(M$7="SIM",M30,"-"))</f>
        <v>-</v>
      </c>
      <c r="N29" s="1403"/>
      <c r="O29" s="1387"/>
      <c r="P29" s="1402"/>
      <c r="Q29" s="412" t="str">
        <f>(IF(Q$7="SIM",Q30,"-"))</f>
        <v>-</v>
      </c>
      <c r="R29" s="1403"/>
      <c r="S29" s="1387"/>
      <c r="T29" s="1402"/>
      <c r="U29" s="412">
        <f>(IF(U$7="SIM",U30,"-"))</f>
        <v>9.8838959760763886E-2</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t="str">
        <f>(IF(M$7="SIM",(L30*(1-(($D$2-L$11)/(N$11-L$11)))+N30*(1-((N$11-$D$2)/(N$11-L$11))))/1000000,"-"))</f>
        <v>-</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f>(IF(U$7="SIM",(T30*(1-(($D$2-T$11)/(V$11-T$11)))+V30*(1-((V$11-$D$2)/(V$11-T$11))))/1000000,"-"))</f>
        <v>9.8838959760763886E-2</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t="str">
        <f>(IF(I$7="SIM",I32+I33+I34+I35,"-"))</f>
        <v>-</v>
      </c>
      <c r="J31" s="1403"/>
      <c r="K31" s="1388"/>
      <c r="L31" s="1402"/>
      <c r="M31" s="412" t="str">
        <f>(IF(M$7="SIM",M32+M33+M34+M35,"-"))</f>
        <v>-</v>
      </c>
      <c r="N31" s="1403"/>
      <c r="O31" s="1388"/>
      <c r="P31" s="1402"/>
      <c r="Q31" s="412" t="str">
        <f>(IF(Q$7="SIM",Q32+Q33+Q34+Q35,"-"))</f>
        <v>-</v>
      </c>
      <c r="R31" s="1403"/>
      <c r="S31" s="1388"/>
      <c r="T31" s="1402"/>
      <c r="U31" s="412">
        <f>(IF(U$7="SIM",U32+U33+U34+U35,"-"))</f>
        <v>0.52585870772134591</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t="str">
        <f>(IF(M$7="SIM",(L32*(1-(($D$2-L$11)/(N$11-L$11)))+N32*(1-((N$11-$D$2)/(N$11-L$11))))/1000000,"-"))</f>
        <v>-</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f>(IF(U$7="SIM",(T32*(1-(($D$2-T$11)/(V$11-T$11)))+V32*(1-((V$11-$D$2)/(V$11-T$11))))/1000000,"-"))</f>
        <v>0.17784485601124167</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t="str">
        <f>(IF(M$7="SIM",(L33*(1-(($D$2-L$11)/(N$11-L$11)))+N33*(1-((N$11-$D$2)/(N$11-L$11))))/1000000,"-"))</f>
        <v>-</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f>(IF(U$7="SIM",(T33*(1-(($D$2-T$11)/(V$11-T$11)))+V33*(1-((V$11-$D$2)/(V$11-T$11))))/1000000,"-"))</f>
        <v>0.23503680107060432</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t="str">
        <f>(IF(M$7="SIM",(L34*(1-(($D$2-L$11)/(N$11-L$11)))+N34*(1-((N$11-$D$2)/(N$11-L$11))))/1000000,"-"))</f>
        <v>-</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f>(IF(U$7="SIM",(T34*(1-(($D$2-T$11)/(V$11-T$11)))+V34*(1-((V$11-$D$2)/(V$11-T$11))))/1000000,"-"))</f>
        <v>8.6370263020833331E-3</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t="str">
        <f>(IF(M$7="SIM",(L35*(1-(($D$2-L$11)/(N$11-L$11)))+N35*(1-((N$11-$D$2)/(N$11-L$11))))/1000000,"-"))</f>
        <v>-</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f>(IF(U$7="SIM",(T35*(1-(($D$2-T$11)/(V$11-T$11)))+V35*(1-((V$11-$D$2)/(V$11-T$11))))/1000000,"-"))</f>
        <v>0.10434002433741653</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t="str">
        <f>(IF(I$7="SIM",I37+I38+I39+I40,"-"))</f>
        <v>-</v>
      </c>
      <c r="J36" s="1403"/>
      <c r="K36" s="1387"/>
      <c r="L36" s="1402"/>
      <c r="M36" s="412" t="str">
        <f>(IF(M$7="SIM",M37+M38+M39+M40,"-"))</f>
        <v>-</v>
      </c>
      <c r="N36" s="1403"/>
      <c r="O36" s="1387"/>
      <c r="P36" s="1402"/>
      <c r="Q36" s="412" t="str">
        <f>(IF(Q$7="SIM",Q37+Q38+Q39+Q40,"-"))</f>
        <v>-</v>
      </c>
      <c r="R36" s="1403"/>
      <c r="S36" s="1387"/>
      <c r="T36" s="1402"/>
      <c r="U36" s="412">
        <f>(IF(U$7="SIM",U37+U38+U39+U40,"-"))</f>
        <v>7.1467669095997071</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t="str">
        <f>(IF(M$7="SIM",(L37*(1-(($D$2-L$11)/(N$11-L$11)))+N37*(1-((N$11-$D$2)/(N$11-L$11))))/1000000,"-"))</f>
        <v>-</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f>(IF(U$7="SIM",(T37*(1-(($D$2-T$11)/(V$11-T$11)))+V37*(1-((V$11-$D$2)/(V$11-T$11))))/1000000,"-"))</f>
        <v>4.4270630718723378</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t="str">
        <f>(IF(M$7="SIM",(L38*(1-(($D$2-L$11)/(N$11-L$11)))+N38*(1-((N$11-$D$2)/(N$11-L$11))))/1000000,"-"))</f>
        <v>-</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f>(IF(U$7="SIM",(T38*(1-(($D$2-T$11)/(V$11-T$11)))+V38*(1-((V$11-$D$2)/(V$11-T$11))))/1000000,"-"))</f>
        <v>0.32540624785986982</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t="str">
        <f>(IF(M$7="SIM",(L39*(1-(($D$2-L$11)/(N$11-L$11)))+N39*(1-((N$11-$D$2)/(N$11-L$11))))/1000000,"-"))</f>
        <v>-</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f>(IF(U$7="SIM",(T39*(1-(($D$2-T$11)/(V$11-T$11)))+V39*(1-((V$11-$D$2)/(V$11-T$11))))/1000000,"-"))</f>
        <v>6.7250000000000004E-2</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t="str">
        <f>(IF(M$7="SIM",(L40*(1-(($D$2-L$11)/(N$11-L$11)))+N40*(1-((N$11-$D$2)/(N$11-L$11))))/1000000,"-"))</f>
        <v>-</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f>(IF(U$7="SIM",(T40*(1-(($D$2-T$11)/(V$11-T$11)))+V40*(1-((V$11-$D$2)/(V$11-T$11))))/1000000,"-"))</f>
        <v>2.3270475898675</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t="str">
        <f>(IF(I$7="SIM",I42+I43+I44,"-"))</f>
        <v>-</v>
      </c>
      <c r="J41" s="1403"/>
      <c r="K41" s="1390"/>
      <c r="L41" s="1402"/>
      <c r="M41" s="412" t="str">
        <f>(IF(M$7="SIM",M42+M43+M44,"-"))</f>
        <v>-</v>
      </c>
      <c r="N41" s="1403"/>
      <c r="O41" s="1390"/>
      <c r="P41" s="1402"/>
      <c r="Q41" s="412" t="str">
        <f>(IF(Q$7="SIM",Q42+Q43+Q44,"-"))</f>
        <v>-</v>
      </c>
      <c r="R41" s="1403"/>
      <c r="S41" s="1390"/>
      <c r="T41" s="1402"/>
      <c r="U41" s="412">
        <f>(IF(U$7="SIM",U42+U43+U44,"-"))</f>
        <v>14.280860169114662</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t="str">
        <f>(IF(M$7="SIM",(L42*(1-(($D$2-L$11)/(N$11-L$11)))+N42*(1-((N$11-$D$2)/(N$11-L$11))))/1000000,"-"))</f>
        <v>-</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f>(IF(U$7="SIM",(T42*(1-(($D$2-T$11)/(V$11-T$11)))+V42*(1-((V$11-$D$2)/(V$11-T$11))))/1000000,"-"))</f>
        <v>12.370552112864662</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t="str">
        <f>(IF(M$7="SIM",(L43*(1-(($D$2-L$11)/(N$11-L$11)))+N43*(1-((N$11-$D$2)/(N$11-L$11))))/1000000,"-"))</f>
        <v>-</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f>(IF(U$7="SIM",(T43*(1-(($D$2-T$11)/(V$11-T$11)))+V43*(1-((V$11-$D$2)/(V$11-T$11))))/1000000,"-"))</f>
        <v>1.0901398750000002</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t="str">
        <f>(IF(M$7="SIM",(L44*(1-(($D$2-L$11)/(N$11-L$11)))+N44*(1-((N$11-$D$2)/(N$11-L$11))))/1000000,"-"))</f>
        <v>-</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f>(IF(U$7="SIM",(T44*(1-(($D$2-T$11)/(V$11-T$11)))+V44*(1-((V$11-$D$2)/(V$11-T$11))))/1000000,"-"))</f>
        <v>0.82016818125000002</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t="str">
        <f>(IF(I$7="SIM",I46*1000000/$H$2,"-"))</f>
        <v>-</v>
      </c>
      <c r="J45" s="1405"/>
      <c r="K45" s="1391"/>
      <c r="L45" s="1413"/>
      <c r="M45" s="1375" t="str">
        <f>(IF(M$7="SIM",M46*1000000/$H$2,"-"))</f>
        <v>-</v>
      </c>
      <c r="N45" s="1405"/>
      <c r="O45" s="1391"/>
      <c r="P45" s="1413"/>
      <c r="Q45" s="1375" t="str">
        <f>(IF(Q$7="SIM",Q46*1000000/$H$2,"-"))</f>
        <v>-</v>
      </c>
      <c r="R45" s="1405"/>
      <c r="S45" s="1391"/>
      <c r="T45" s="1413"/>
      <c r="U45" s="1375">
        <f>(IF(U$7="SIM",U46*1000000/$H$2,"-"))</f>
        <v>47.789383913850941</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t="str">
        <f>(IF(M$7="SIM",(M26+M29+M31+M36+M41)*(1+L46),"-"))</f>
        <v>-</v>
      </c>
      <c r="N46" s="1407"/>
      <c r="O46" s="1382"/>
      <c r="P46" s="1406">
        <v>0.1</v>
      </c>
      <c r="Q46" s="1377" t="str">
        <f>(IF(Q$7="SIM",(Q26+Q29+Q31+Q36+Q41)*(1+P46),"-"))</f>
        <v>-</v>
      </c>
      <c r="R46" s="1407"/>
      <c r="S46" s="1382"/>
      <c r="T46" s="1406">
        <v>0.1</v>
      </c>
      <c r="U46" s="1377">
        <f>(IF(U$7="SIM",(U26+U29+U31+U36+U41)*(1+T46),"-"))</f>
        <v>29.855667605534581</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t="str">
        <f>(IF(I$7="SIM",((I27+I34+I35+I30+I39+I40+I44)*(1+H46)),"-"))</f>
        <v>-</v>
      </c>
      <c r="J47" s="1409"/>
      <c r="K47" s="728"/>
      <c r="L47" s="1408"/>
      <c r="M47" s="1378" t="str">
        <f>(IF(M$7="SIM",((M27+M34+M35+M30+M39+M40+M44)*(1+L46)),"-"))</f>
        <v>-</v>
      </c>
      <c r="N47" s="1409"/>
      <c r="O47" s="728"/>
      <c r="P47" s="1408"/>
      <c r="Q47" s="1378" t="str">
        <f>(IF(Q$7="SIM",((Q27+Q34+Q35+Q30+Q39+Q40+Q44)*(1+P46)),"-"))</f>
        <v>-</v>
      </c>
      <c r="R47" s="1409"/>
      <c r="S47" s="728"/>
      <c r="T47" s="1408"/>
      <c r="U47" s="1378">
        <f>(IF(U$7="SIM",((U27+U34+U35+U30+U39+U40+U44)*(1+T46)),"-"))</f>
        <v>6.6985341159659439</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t="str">
        <f>(IF(M$7="SIM",((M37+M28+M38+M32+M33+M42+M43)*1000000/$H$2)*(1+L46),"-"))</f>
        <v>-</v>
      </c>
      <c r="N48" s="1412"/>
      <c r="O48" s="728"/>
      <c r="P48" s="1410"/>
      <c r="Q48" s="1411" t="str">
        <f>(IF(Q$7="SIM",((Q37+Q28+Q38+Q32+Q33+Q42+Q43)*1000000/$H$2)*(1+P46),"-"))</f>
        <v>-</v>
      </c>
      <c r="R48" s="1412"/>
      <c r="S48" s="728"/>
      <c r="T48" s="1410"/>
      <c r="U48" s="1411">
        <f>(IF(U$7="SIM",((U37+U28+U38+U32+U33+U42+U43)*1000000/$H$2)*(1+T46),"-"))</f>
        <v>37.067171208462241</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1</vt:i4>
      </vt:variant>
    </vt:vector>
  </HeadingPairs>
  <TitlesOfParts>
    <vt:vector size="21"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Planilha1</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2022-07-15T15:17:46Z</dcterms:modified>
</cp:coreProperties>
</file>