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mc:AlternateContent xmlns:mc="http://schemas.openxmlformats.org/markup-compatibility/2006">
    <mc:Choice Requires="x15">
      <x15ac:absPath xmlns:x15ac="http://schemas.microsoft.com/office/spreadsheetml/2010/11/ac" url="C:\Users\cristiansimioni\Desktop\gestaoregionalizadarsu\templates\"/>
    </mc:Choice>
  </mc:AlternateContent>
  <xr:revisionPtr revIDLastSave="0" documentId="13_ncr:1_{A5158E31-0AC1-45A4-94BA-87484BBE702C}" xr6:coauthVersionLast="47" xr6:coauthVersionMax="47" xr10:uidLastSave="{00000000-0000-0000-0000-000000000000}"/>
  <bookViews>
    <workbookView xWindow="-120" yWindow="-120" windowWidth="29040" windowHeight="15840" tabRatio="882" firstSheet="1"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definedNames>
    <definedName name="solver_opt" localSheetId="9">'C-FCL Real'!$F$11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3" i="22" l="1"/>
  <c r="C130" i="2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59" i="22" s="1"/>
  <c r="C135" i="22" l="1"/>
  <c r="C132"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P148" i="11"/>
  <c r="T30" i="22"/>
  <c r="T31" i="22" s="1"/>
  <c r="Q149" i="11"/>
  <c r="R30" i="22" s="1"/>
  <c r="S27" i="22" l="1"/>
  <c r="S28" i="22" s="1"/>
  <c r="N154" i="1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42" i="22"/>
  <c r="N157" i="11" l="1"/>
  <c r="N161" i="1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r>
          <rPr>
            <sz val="11"/>
            <color rgb="FF000000"/>
            <rFont val="Calibri"/>
          </rPr>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r>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<sst xmlns="http://schemas.openxmlformats.org/spreadsheetml/2006/main" count="2679" uniqueCount="1125">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</sst>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4">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14">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4" fillId="0" borderId="30" xfId="0" applyFont="1" applyFill="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Fill="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0" borderId="30" xfId="0" applyFont="1" applyBorder="1" applyAlignment="1">
      <alignment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533.26842603756552</c:v>
                </c:pt>
                <c:pt idx="3">
                  <c:v>167.65389744488391</c:v>
                </c:pt>
                <c:pt idx="4">
                  <c:v>0</c:v>
                </c:pt>
                <c:pt idx="5">
                  <c:v>0</c:v>
                </c:pt>
                <c:pt idx="6">
                  <c:v>133.450997768669</c:v>
                </c:pt>
                <c:pt idx="7">
                  <c:v>0</c:v>
                </c:pt>
                <c:pt idx="8">
                  <c:v>134.41842267796696</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531.56469304703</c:v>
                </c:pt>
                <c:pt idx="3">
                  <c:v>442.1118042057895</c:v>
                </c:pt>
                <c:pt idx="4">
                  <c:v>0</c:v>
                </c:pt>
                <c:pt idx="5">
                  <c:v>0</c:v>
                </c:pt>
                <c:pt idx="6">
                  <c:v>304.47387675310966</c:v>
                </c:pt>
                <c:pt idx="7">
                  <c:v>0</c:v>
                </c:pt>
                <c:pt idx="8">
                  <c:v>251.95644550214709</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82.769105054330879</c:v>
                </c:pt>
                <c:pt idx="3">
                  <c:v>18.39372050609979</c:v>
                </c:pt>
                <c:pt idx="4">
                  <c:v>0</c:v>
                </c:pt>
                <c:pt idx="5">
                  <c:v>0</c:v>
                </c:pt>
                <c:pt idx="6">
                  <c:v>13.937739378196657</c:v>
                </c:pt>
                <c:pt idx="7">
                  <c:v>0</c:v>
                </c:pt>
                <c:pt idx="8">
                  <c:v>51.359957390985812</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82.50466701901351</c:v>
                </c:pt>
                <c:pt idx="3">
                  <c:v>48.505170967959288</c:v>
                </c:pt>
                <c:pt idx="4">
                  <c:v>0</c:v>
                </c:pt>
                <c:pt idx="5">
                  <c:v>0</c:v>
                </c:pt>
                <c:pt idx="6">
                  <c:v>31.799519019035188</c:v>
                </c:pt>
                <c:pt idx="7">
                  <c:v>0</c:v>
                </c:pt>
                <c:pt idx="8" formatCode="0">
                  <c:v>96.270080005154213</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51.334528479498402</c:v>
                </c:pt>
                <c:pt idx="4" formatCode="#,##0">
                  <c:v>0</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469.44855358316909</c:v>
                </c:pt>
                <c:pt idx="3">
                  <c:v>177.45155325443784</c:v>
                </c:pt>
                <c:pt idx="4">
                  <c:v>0</c:v>
                </c:pt>
                <c:pt idx="5">
                  <c:v>0</c:v>
                </c:pt>
                <c:pt idx="6">
                  <c:v>205.10207306048656</c:v>
                </c:pt>
                <c:pt idx="7">
                  <c:v>0</c:v>
                </c:pt>
                <c:pt idx="8">
                  <c:v>188.85240384615383</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-27.381806496689201</c:v>
                </c:pt>
                <c:pt idx="1">
                  <c:v>-64.917762543413403</c:v>
                </c:pt>
                <c:pt idx="2">
                  <c:v>-112.01463212154005</c:v>
                </c:pt>
                <c:pt idx="3">
                  <c:v>-109.97191303365382</c:v>
                </c:pt>
                <c:pt idx="4">
                  <c:v>-107.83950900865756</c:v>
                </c:pt>
                <c:pt idx="5">
                  <c:v>-105.61699852734685</c:v>
                </c:pt>
                <c:pt idx="6">
                  <c:v>-103.30395808937703</c:v>
                </c:pt>
                <c:pt idx="7">
                  <c:v>-100.89996220395179</c:v>
                </c:pt>
                <c:pt idx="8">
                  <c:v>-98.404583380468083</c:v>
                </c:pt>
                <c:pt idx="9">
                  <c:v>-95.817392119117045</c:v>
                </c:pt>
                <c:pt idx="10">
                  <c:v>-93.137956901440688</c:v>
                </c:pt>
                <c:pt idx="11">
                  <c:v>-90.365844180844292</c:v>
                </c:pt>
                <c:pt idx="12">
                  <c:v>-87.500618373064128</c:v>
                </c:pt>
                <c:pt idx="13">
                  <c:v>-84.54184184659043</c:v>
                </c:pt>
                <c:pt idx="14">
                  <c:v>-81.489074913045343</c:v>
                </c:pt>
                <c:pt idx="15">
                  <c:v>-78.341875817515628</c:v>
                </c:pt>
                <c:pt idx="16">
                  <c:v>-75.099800728839966</c:v>
                </c:pt>
                <c:pt idx="17">
                  <c:v>-71.762403729850561</c:v>
                </c:pt>
                <c:pt idx="18">
                  <c:v>-68.329236807568947</c:v>
                </c:pt>
                <c:pt idx="19">
                  <c:v>-64.799849843355645</c:v>
                </c:pt>
                <c:pt idx="20">
                  <c:v>-61.173790603013586</c:v>
                </c:pt>
                <c:pt idx="21">
                  <c:v>-57.450604726844958</c:v>
                </c:pt>
                <c:pt idx="22">
                  <c:v>-53.629835719661372</c:v>
                </c:pt>
                <c:pt idx="23">
                  <c:v>-49.711024940747059</c:v>
                </c:pt>
                <c:pt idx="24">
                  <c:v>-45.693711593774893</c:v>
                </c:pt>
                <c:pt idx="25">
                  <c:v>-41.577432716674991</c:v>
                </c:pt>
                <c:pt idx="26">
                  <c:v>-37.361723171455758</c:v>
                </c:pt>
                <c:pt idx="27">
                  <c:v>-33.046115633977038</c:v>
                </c:pt>
                <c:pt idx="28">
                  <c:v>-28.6301405836752</c:v>
                </c:pt>
                <c:pt idx="29">
                  <c:v>-24.113326293239979</c:v>
                </c:pt>
                <c:pt idx="30">
                  <c:v>-19.495198818242748</c:v>
                </c:pt>
                <c:pt idx="31">
                  <c:v>-14.775281986716067</c:v>
                </c:pt>
                <c:pt idx="32">
                  <c:v>-9.9530973886842542</c:v>
                </c:pt>
                <c:pt idx="33">
                  <c:v>-5.0281643656447281</c:v>
                </c:pt>
                <c:pt idx="34">
                  <c:v>5.1514348342607263E-14</c:v>
                </c:pt>
                <c:pt idx="35">
                  <c:v>5.1318808955603181</c:v>
                </c:pt>
                <c:pt idx="36">
                  <c:v>10.36796578872668</c:v>
                </c:pt>
                <c:pt idx="37">
                  <c:v>15.708744438287894</c:v>
                </c:pt>
                <c:pt idx="38">
                  <c:v>21.154708904899007</c:v>
                </c:pt>
                <c:pt idx="39">
                  <c:v>26.706353561900151</c:v>
                </c:pt>
                <c:pt idx="40">
                  <c:v>32.36417510618616</c:v>
                </c:pt>
                <c:pt idx="41">
                  <c:v>38.128672569127282</c:v>
                </c:pt>
                <c:pt idx="42">
                  <c:v>44.000347327541192</c:v>
                </c:pt>
                <c:pt idx="43">
                  <c:v>49.979703114716607</c:v>
                </c:pt>
                <c:pt idx="44">
                  <c:v>56.067246031488708</c:v>
                </c:pt>
                <c:pt idx="45">
                  <c:v>62.263484557366603</c:v>
                </c:pt>
                <c:pt idx="46">
                  <c:v>68.568929561713091</c:v>
                </c:pt>
                <c:pt idx="47">
                  <c:v>74.984094314976971</c:v>
                </c:pt>
                <c:pt idx="48">
                  <c:v>81.509494499978146</c:v>
                </c:pt>
                <c:pt idx="49">
                  <c:v>88.1456482232458</c:v>
                </c:pt>
                <c:pt idx="50">
                  <c:v>94.893076026409773</c:v>
                </c:pt>
                <c:pt idx="51">
                  <c:v>101.75230089764558</c:v>
                </c:pt>
                <c:pt idx="52">
                  <c:v>108.72384828317315</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11.55829385563406</c:v>
                </c:pt>
                <c:pt idx="1">
                  <c:v>18.423554429670013</c:v>
                </c:pt>
                <c:pt idx="2">
                  <c:v>20.456284691225967</c:v>
                </c:pt>
                <c:pt idx="3">
                  <c:v>11.057281166524243</c:v>
                </c:pt>
                <c:pt idx="4">
                  <c:v>2.0995588336195716</c:v>
                </c:pt>
                <c:pt idx="5">
                  <c:v>-6.4164010385171526</c:v>
                </c:pt>
                <c:pt idx="6">
                  <c:v>-14.490114918950887</c:v>
                </c:pt>
                <c:pt idx="7">
                  <c:v>-22.121097004151174</c:v>
                </c:pt>
                <c:pt idx="8">
                  <c:v>-29.30885920731096</c:v>
                </c:pt>
                <c:pt idx="9">
                  <c:v>-36.05291114761522</c:v>
                </c:pt>
                <c:pt idx="10">
                  <c:v>-42.352760139459093</c:v>
                </c:pt>
                <c:pt idx="11">
                  <c:v>-48.20791118161538</c:v>
                </c:pt>
                <c:pt idx="12">
                  <c:v>-53.617866946351079</c:v>
                </c:pt>
                <c:pt idx="13">
                  <c:v>-58.582127768492882</c:v>
                </c:pt>
                <c:pt idx="14">
                  <c:v>-63.100191634441146</c:v>
                </c:pt>
                <c:pt idx="15">
                  <c:v>-67.171554171132328</c:v>
                </c:pt>
                <c:pt idx="16">
                  <c:v>-70.795708634949463</c:v>
                </c:pt>
                <c:pt idx="17">
                  <c:v>-73.9721459005806</c:v>
                </c:pt>
                <c:pt idx="18">
                  <c:v>-76.700354449824829</c:v>
                </c:pt>
                <c:pt idx="19">
                  <c:v>-78.97982036034567</c:v>
                </c:pt>
                <c:pt idx="20">
                  <c:v>-80.810027294371693</c:v>
                </c:pt>
                <c:pt idx="21">
                  <c:v>-82.190456487343909</c:v>
                </c:pt>
                <c:pt idx="22">
                  <c:v>-83.120586736509935</c:v>
                </c:pt>
                <c:pt idx="23">
                  <c:v>-76.822223621146904</c:v>
                </c:pt>
                <c:pt idx="24">
                  <c:v>-70.411395334416568</c:v>
                </c:pt>
                <c:pt idx="25">
                  <c:v>-63.88757329001352</c:v>
                </c:pt>
                <c:pt idx="26">
                  <c:v>-57.250226417276693</c:v>
                </c:pt>
                <c:pt idx="27">
                  <c:v>-50.498821149512906</c:v>
                </c:pt>
                <c:pt idx="28">
                  <c:v>-43.632821412265564</c:v>
                </c:pt>
                <c:pt idx="29">
                  <c:v>-36.651688611528058</c:v>
                </c:pt>
                <c:pt idx="30">
                  <c:v>-29.554881621902005</c:v>
                </c:pt>
                <c:pt idx="31">
                  <c:v>-22.341856774699625</c:v>
                </c:pt>
                <c:pt idx="32">
                  <c:v>-15.012067845990297</c:v>
                </c:pt>
                <c:pt idx="33">
                  <c:v>-7.5649660445909541</c:v>
                </c:pt>
                <c:pt idx="34">
                  <c:v>4.6185277824406512E-14</c:v>
                </c:pt>
                <c:pt idx="35">
                  <c:v>7.6833842497257239</c:v>
                </c:pt>
                <c:pt idx="36">
                  <c:v>15.485743270150198</c:v>
                </c:pt>
                <c:pt idx="37">
                  <c:v>23.407636242695744</c:v>
                </c:pt>
                <c:pt idx="38">
                  <c:v>31.449624976937351</c:v>
                </c:pt>
                <c:pt idx="39">
                  <c:v>39.612273922954969</c:v>
                </c:pt>
                <c:pt idx="40">
                  <c:v>47.896150183743956</c:v>
                </c:pt>
                <c:pt idx="41">
                  <c:v>56.301823527683737</c:v>
                </c:pt>
                <c:pt idx="42">
                  <c:v>64.829866401065132</c:v>
                </c:pt>
                <c:pt idx="43">
                  <c:v>73.480853940676511</c:v>
                </c:pt>
                <c:pt idx="44">
                  <c:v>82.25536398644914</c:v>
                </c:pt>
                <c:pt idx="45">
                  <c:v>91.153977094161988</c:v>
                </c:pt>
                <c:pt idx="46">
                  <c:v>100.17727654820618</c:v>
                </c:pt>
                <c:pt idx="47">
                  <c:v>109.32584837440946</c:v>
                </c:pt>
                <c:pt idx="48">
                  <c:v>118.60028135292097</c:v>
                </c:pt>
                <c:pt idx="49">
                  <c:v>128.0011670311566</c:v>
                </c:pt>
                <c:pt idx="50">
                  <c:v>137.52909973680499</c:v>
                </c:pt>
                <c:pt idx="51">
                  <c:v>147.18467659089504</c:v>
                </c:pt>
                <c:pt idx="52">
                  <c:v>156.96849752092439</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-30.048794449466726</c:v>
                </c:pt>
                <c:pt idx="1">
                  <c:v>-71.240752615141872</c:v>
                </c:pt>
                <c:pt idx="2">
                  <c:v>-122.92485729017805</c:v>
                </c:pt>
                <c:pt idx="3">
                  <c:v>-120.6831773631317</c:v>
                </c:pt>
                <c:pt idx="4">
                  <c:v>-118.34307718610081</c:v>
                </c:pt>
                <c:pt idx="5">
                  <c:v>-115.90409418391044</c:v>
                </c:pt>
                <c:pt idx="6">
                  <c:v>-113.36576360728236</c:v>
                </c:pt>
                <c:pt idx="7">
                  <c:v>-110.72761852261669</c:v>
                </c:pt>
                <c:pt idx="8">
                  <c:v>-107.98918980172567</c:v>
                </c:pt>
                <c:pt idx="9">
                  <c:v>-105.15000611151903</c:v>
                </c:pt>
                <c:pt idx="10">
                  <c:v>-102.20959390364099</c:v>
                </c:pt>
                <c:pt idx="11">
                  <c:v>-99.167477404058502</c:v>
                </c:pt>
                <c:pt idx="12">
                  <c:v>-96.023178602600552</c:v>
                </c:pt>
                <c:pt idx="13">
                  <c:v>-92.776217242448325</c:v>
                </c:pt>
                <c:pt idx="14">
                  <c:v>-89.426110809575945</c:v>
                </c:pt>
                <c:pt idx="15">
                  <c:v>-85.972374522141635</c:v>
                </c:pt>
                <c:pt idx="16">
                  <c:v>-82.414521319828964</c:v>
                </c:pt>
                <c:pt idx="17">
                  <c:v>-78.752061853138002</c:v>
                </c:pt>
                <c:pt idx="18">
                  <c:v>-74.984504472626156</c:v>
                </c:pt>
                <c:pt idx="19">
                  <c:v>-71.111355218098481</c:v>
                </c:pt>
                <c:pt idx="20">
                  <c:v>-67.132117807747107</c:v>
                </c:pt>
                <c:pt idx="21">
                  <c:v>-63.046293627239649</c:v>
                </c:pt>
                <c:pt idx="22">
                  <c:v>-58.853381718756388</c:v>
                </c:pt>
                <c:pt idx="23">
                  <c:v>-54.55287876997582</c:v>
                </c:pt>
                <c:pt idx="24">
                  <c:v>-50.144279103008564</c:v>
                </c:pt>
                <c:pt idx="25">
                  <c:v>-45.627074663279132</c:v>
                </c:pt>
                <c:pt idx="26">
                  <c:v>-41.000755008355547</c:v>
                </c:pt>
                <c:pt idx="27">
                  <c:v>-36.264807296726396</c:v>
                </c:pt>
                <c:pt idx="28">
                  <c:v>-31.41871627652516</c:v>
                </c:pt>
                <c:pt idx="29">
                  <c:v>-26.461964274201549</c:v>
                </c:pt>
                <c:pt idx="30">
                  <c:v>-21.394031183139589</c:v>
                </c:pt>
                <c:pt idx="31">
                  <c:v>-16.214394452222209</c:v>
                </c:pt>
                <c:pt idx="32">
                  <c:v>-10.922529074342098</c:v>
                </c:pt>
                <c:pt idx="33">
                  <c:v>-5.5179075748585218</c:v>
                </c:pt>
                <c:pt idx="34">
                  <c:v>5.9507954119908391E-14</c:v>
                </c:pt>
                <c:pt idx="35">
                  <c:v>5.6317260947878953</c:v>
                </c:pt>
                <c:pt idx="36">
                  <c:v>11.377805656548661</c:v>
                </c:pt>
                <c:pt idx="37">
                  <c:v>17.238776146577138</c:v>
                </c:pt>
                <c:pt idx="38">
                  <c:v>23.215177552236174</c:v>
                </c:pt>
                <c:pt idx="39">
                  <c:v>29.30755239882923</c:v>
                </c:pt>
                <c:pt idx="40">
                  <c:v>35.516445761528693</c:v>
                </c:pt>
                <c:pt idx="41">
                  <c:v>41.842405277360278</c:v>
                </c:pt>
                <c:pt idx="42">
                  <c:v>48.285981157243697</c:v>
                </c:pt>
                <c:pt idx="43">
                  <c:v>54.847726198090001</c:v>
                </c:pt>
                <c:pt idx="44">
                  <c:v>61.528195794955707</c:v>
                </c:pt>
                <c:pt idx="45">
                  <c:v>68.32794795325411</c:v>
                </c:pt>
                <c:pt idx="46">
                  <c:v>75.247543301023939</c:v>
                </c:pt>
                <c:pt idx="47">
                  <c:v>82.287545101255716</c:v>
                </c:pt>
                <c:pt idx="48">
                  <c:v>89.448519264276001</c:v>
                </c:pt>
                <c:pt idx="49">
                  <c:v>96.731034360189923</c:v>
                </c:pt>
                <c:pt idx="50">
                  <c:v>104.13566163138206</c:v>
                </c:pt>
                <c:pt idx="51">
                  <c:v>111.66297500507623</c:v>
                </c:pt>
                <c:pt idx="52">
                  <c:v>119.31355110595419</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12.258726463285484</c:v>
                </c:pt>
                <c:pt idx="1">
                  <c:v>19.540021828108014</c:v>
                </c:pt>
                <c:pt idx="2">
                  <c:v>21.69593554351426</c:v>
                </c:pt>
                <c:pt idx="3">
                  <c:v>11.727352405215612</c:v>
                </c:pt>
                <c:pt idx="4">
                  <c:v>2.226792098936917</c:v>
                </c:pt>
                <c:pt idx="5">
                  <c:v>-6.8052349414512925</c:v>
                </c:pt>
                <c:pt idx="6">
                  <c:v>-15.36821588303931</c:v>
                </c:pt>
                <c:pt idx="7">
                  <c:v>-23.461635482602734</c:v>
                </c:pt>
                <c:pt idx="8">
                  <c:v>-31.084976075274003</c:v>
                </c:pt>
                <c:pt idx="9">
                  <c:v>-38.2377175631607</c:v>
                </c:pt>
                <c:pt idx="10">
                  <c:v>-44.919337403910305</c:v>
                </c:pt>
                <c:pt idx="11">
                  <c:v>-51.129310599221263</c:v>
                </c:pt>
                <c:pt idx="12">
                  <c:v>-56.867109683299944</c:v>
                </c:pt>
                <c:pt idx="13">
                  <c:v>-62.13220471126354</c:v>
                </c:pt>
                <c:pt idx="14">
                  <c:v>-66.924063247488263</c:v>
                </c:pt>
                <c:pt idx="15">
                  <c:v>-71.242150353902929</c:v>
                </c:pt>
                <c:pt idx="16">
                  <c:v>-75.085928578227382</c:v>
                </c:pt>
                <c:pt idx="17">
                  <c:v>-78.454857942155769</c:v>
                </c:pt>
                <c:pt idx="18">
                  <c:v>-81.348395929484198</c:v>
                </c:pt>
                <c:pt idx="19">
                  <c:v>-83.765997474182598</c:v>
                </c:pt>
                <c:pt idx="20">
                  <c:v>-85.707114948410592</c:v>
                </c:pt>
                <c:pt idx="21">
                  <c:v>-87.171198150476926</c:v>
                </c:pt>
                <c:pt idx="22">
                  <c:v>-88.15769429274242</c:v>
                </c:pt>
                <c:pt idx="23">
                  <c:v>-81.477650372588386</c:v>
                </c:pt>
                <c:pt idx="24">
                  <c:v>-74.678325891682192</c:v>
                </c:pt>
                <c:pt idx="25">
                  <c:v>-67.759160231388321</c:v>
                </c:pt>
                <c:pt idx="26">
                  <c:v>-60.719590138163646</c:v>
                </c:pt>
                <c:pt idx="27">
                  <c:v>-53.55904971117338</c:v>
                </c:pt>
                <c:pt idx="28">
                  <c:v>-46.276970389848842</c:v>
                </c:pt>
                <c:pt idx="29">
                  <c:v>-38.872780941386644</c:v>
                </c:pt>
                <c:pt idx="30">
                  <c:v>-31.345907448189251</c:v>
                </c:pt>
                <c:pt idx="31">
                  <c:v>-23.695773295246404</c:v>
                </c:pt>
                <c:pt idx="32">
                  <c:v>-15.92179915745729</c:v>
                </c:pt>
                <c:pt idx="33">
                  <c:v>-8.0234029868931476</c:v>
                </c:pt>
                <c:pt idx="34">
                  <c:v>6.7501559897209518E-14</c:v>
                </c:pt>
                <c:pt idx="35">
                  <c:v>8.1489973352591214</c:v>
                </c:pt>
                <c:pt idx="36">
                  <c:v>16.424179312321321</c:v>
                </c:pt>
                <c:pt idx="37">
                  <c:v>24.826138999003128</c:v>
                </c:pt>
                <c:pt idx="38">
                  <c:v>33.355472250539776</c:v>
                </c:pt>
                <c:pt idx="39">
                  <c:v>42.012777722686067</c:v>
                </c:pt>
                <c:pt idx="40">
                  <c:v>50.798656884878866</c:v>
                </c:pt>
                <c:pt idx="41">
                  <c:v>59.7137140334614</c:v>
                </c:pt>
                <c:pt idx="42">
                  <c:v>68.758556304969702</c:v>
                </c:pt>
                <c:pt idx="43">
                  <c:v>77.933793689481519</c:v>
                </c:pt>
                <c:pt idx="44">
                  <c:v>87.240039044027966</c:v>
                </c:pt>
                <c:pt idx="45">
                  <c:v>96.677908106068216</c:v>
                </c:pt>
                <c:pt idx="46">
                  <c:v>106.24801950702748</c:v>
                </c:pt>
                <c:pt idx="47">
                  <c:v>115.95099478589867</c:v>
                </c:pt>
                <c:pt idx="48">
                  <c:v>125.78745840290799</c:v>
                </c:pt>
                <c:pt idx="49">
                  <c:v>135.75803775324468</c:v>
                </c:pt>
                <c:pt idx="50">
                  <c:v>145.86336318085537</c:v>
                </c:pt>
                <c:pt idx="51">
                  <c:v>156.10406799230327</c:v>
                </c:pt>
                <c:pt idx="52">
                  <c:v>166.4807884706924</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522" customWidth="1"/>
    <col min="2" max="2" width="7.42578125" style="72" customWidth="1"/>
    <col min="3" max="3" width="13.42578125" style="72" customWidth="1"/>
    <col min="4" max="4" width="9.7109375" style="72" customWidth="1"/>
    <col min="5" max="6" width="8.42578125" style="72" customWidth="1"/>
    <col min="7" max="7" width="42.42578125" style="72" customWidth="1"/>
    <col min="8" max="8" width="6.42578125" style="72" customWidth="1"/>
    <col min="9" max="9" width="10.42578125" style="72" customWidth="1"/>
    <col min="10" max="10" width="7.42578125" style="72" customWidth="1"/>
    <col min="11" max="15" width="8.42578125" style="72" customWidth="1"/>
    <col min="16" max="16" width="11.42578125" style="72" customWidth="1"/>
    <col min="17" max="17" width="13.42578125" style="72" customWidth="1"/>
    <col min="18" max="18" width="8.42578125" style="72" customWidth="1"/>
  </cols>
  <sheetData>
    <row r="1" spans="2:18" ht="6" customHeight="1" x14ac:dyDescent="0.25">
      <c r="B1" s="414"/>
      <c r="C1" s="414"/>
      <c r="D1" s="414"/>
      <c r="E1" s="414"/>
      <c r="F1" s="416"/>
      <c r="G1" s="416"/>
      <c r="H1" s="416"/>
      <c r="I1" s="416"/>
      <c r="J1" s="416"/>
      <c r="K1" s="416"/>
      <c r="L1" s="73"/>
      <c r="M1" s="73"/>
      <c r="N1" s="73"/>
      <c r="O1" s="73"/>
      <c r="P1" s="73"/>
      <c r="Q1" s="73"/>
      <c r="R1" s="73"/>
    </row>
    <row r="2" spans="2:18" ht="21.4" customHeight="1" x14ac:dyDescent="0.3">
      <c r="B2" s="414"/>
      <c r="C2" s="2105" t="s">
        <v>473</v>
      </c>
      <c r="D2" s="2106"/>
      <c r="E2" s="2106"/>
      <c r="F2" s="2106"/>
      <c r="G2" s="2106"/>
      <c r="H2" s="415"/>
      <c r="I2" s="2109" t="s">
        <v>962</v>
      </c>
      <c r="J2" s="2110"/>
      <c r="K2" s="2110"/>
    </row>
    <row r="3" spans="2:18" ht="10.5" customHeight="1" x14ac:dyDescent="0.25">
      <c r="B3" s="414"/>
      <c r="C3" s="413"/>
      <c r="D3" s="413"/>
      <c r="E3" s="413"/>
      <c r="F3" s="413"/>
      <c r="G3" s="413"/>
      <c r="H3" s="414"/>
      <c r="I3" s="414"/>
      <c r="J3" s="414"/>
      <c r="K3" s="414"/>
    </row>
    <row r="4" spans="2:18" ht="37.9" customHeight="1" x14ac:dyDescent="0.25">
      <c r="B4" s="416"/>
      <c r="C4" s="2107" t="s">
        <v>770</v>
      </c>
      <c r="D4" s="2108"/>
      <c r="E4" s="2108"/>
      <c r="F4" s="2108"/>
      <c r="G4" s="2108"/>
      <c r="H4" s="414"/>
      <c r="I4" s="414"/>
      <c r="J4" s="414"/>
      <c r="K4" s="414"/>
    </row>
    <row r="5" spans="2:18" ht="18" customHeight="1" x14ac:dyDescent="0.25">
      <c r="B5" s="73"/>
      <c r="J5" s="74"/>
      <c r="K5" s="74"/>
      <c r="L5" s="74"/>
      <c r="M5" s="74"/>
      <c r="N5" s="74"/>
      <c r="O5" s="74"/>
      <c r="P5" s="74"/>
      <c r="Q5" s="74"/>
      <c r="R5" s="74"/>
    </row>
    <row r="6" spans="2:18" ht="18" customHeight="1" x14ac:dyDescent="0.25">
      <c r="B6" s="73"/>
      <c r="I6" s="112" t="s">
        <v>771</v>
      </c>
      <c r="J6" s="2102" t="s">
        <v>497</v>
      </c>
      <c r="K6" s="2104"/>
      <c r="L6" s="2104"/>
      <c r="M6" s="2104"/>
      <c r="N6" s="2104"/>
      <c r="O6" s="2104"/>
      <c r="P6" s="2104"/>
      <c r="Q6" s="2104"/>
      <c r="R6" s="2104"/>
    </row>
    <row r="7" spans="2:18" ht="18" customHeight="1" x14ac:dyDescent="0.25">
      <c r="B7" s="73"/>
      <c r="I7" s="417"/>
      <c r="J7" s="2104"/>
      <c r="K7" s="2104"/>
      <c r="L7" s="2104"/>
      <c r="M7" s="2104"/>
      <c r="N7" s="2104"/>
      <c r="O7" s="2104"/>
      <c r="P7" s="2104"/>
      <c r="Q7" s="2104"/>
      <c r="R7" s="2104"/>
    </row>
    <row r="8" spans="2:18" ht="18" customHeight="1" x14ac:dyDescent="0.25">
      <c r="B8" s="73"/>
      <c r="I8" s="417"/>
      <c r="J8" s="77"/>
      <c r="K8" s="77"/>
      <c r="L8" s="77"/>
      <c r="M8" s="77"/>
      <c r="N8" s="77"/>
      <c r="O8" s="77"/>
      <c r="P8" s="77"/>
      <c r="Q8" s="77"/>
      <c r="R8" s="77"/>
    </row>
    <row r="9" spans="2:18" ht="22.9" customHeight="1" x14ac:dyDescent="0.25">
      <c r="B9" s="73"/>
      <c r="I9" s="112" t="s">
        <v>772</v>
      </c>
      <c r="J9" s="2102" t="s">
        <v>775</v>
      </c>
      <c r="K9" s="2104"/>
      <c r="L9" s="2104"/>
      <c r="M9" s="2104"/>
      <c r="N9" s="2104"/>
      <c r="O9" s="2104"/>
      <c r="P9" s="2104"/>
      <c r="Q9" s="2104"/>
      <c r="R9" s="2104"/>
    </row>
    <row r="10" spans="2:18" ht="22.9" customHeight="1" x14ac:dyDescent="0.25">
      <c r="B10" s="73"/>
      <c r="I10" s="417"/>
      <c r="J10" s="2104"/>
      <c r="K10" s="2104"/>
      <c r="L10" s="2104"/>
      <c r="M10" s="2104"/>
      <c r="N10" s="2104"/>
      <c r="O10" s="2104"/>
      <c r="P10" s="2104"/>
      <c r="Q10" s="2104"/>
      <c r="R10" s="2104"/>
    </row>
    <row r="11" spans="2:18" ht="22.9" customHeight="1" x14ac:dyDescent="0.25">
      <c r="I11" s="417"/>
      <c r="J11" s="2104"/>
      <c r="K11" s="2104"/>
      <c r="L11" s="2104"/>
      <c r="M11" s="2104"/>
      <c r="N11" s="2104"/>
      <c r="O11" s="2104"/>
      <c r="P11" s="2104"/>
      <c r="Q11" s="2104"/>
      <c r="R11" s="2104"/>
    </row>
    <row r="12" spans="2:18" ht="18" customHeight="1" x14ac:dyDescent="0.25">
      <c r="I12" s="417"/>
      <c r="J12" s="78"/>
      <c r="K12" s="78"/>
      <c r="L12" s="78"/>
      <c r="M12" s="78"/>
      <c r="N12" s="78"/>
      <c r="O12" s="78"/>
      <c r="P12" s="78"/>
      <c r="Q12" s="78"/>
      <c r="R12" s="78"/>
    </row>
    <row r="13" spans="2:18" ht="18" customHeight="1" x14ac:dyDescent="0.25">
      <c r="B13" s="73"/>
      <c r="C13" s="79"/>
      <c r="G13" s="80"/>
      <c r="H13" s="80"/>
      <c r="I13" s="112" t="s">
        <v>773</v>
      </c>
      <c r="J13" s="2103" t="s">
        <v>776</v>
      </c>
      <c r="K13" s="2103"/>
      <c r="L13" s="2103"/>
      <c r="M13" s="2103"/>
      <c r="N13" s="2103"/>
      <c r="O13" s="2103"/>
      <c r="P13" s="2103"/>
      <c r="Q13" s="2103"/>
      <c r="R13" s="2103"/>
    </row>
    <row r="14" spans="2:18" ht="18" customHeight="1" x14ac:dyDescent="0.25">
      <c r="B14" s="73"/>
      <c r="C14" s="79"/>
      <c r="G14" s="80"/>
      <c r="H14" s="80"/>
      <c r="I14" s="417"/>
      <c r="J14" s="2103"/>
      <c r="K14" s="2103"/>
      <c r="L14" s="2103"/>
      <c r="M14" s="2103"/>
      <c r="N14" s="2103"/>
      <c r="O14" s="2103"/>
      <c r="P14" s="2103"/>
      <c r="Q14" s="2103"/>
      <c r="R14" s="2103"/>
    </row>
    <row r="15" spans="2:18" ht="18" customHeight="1" x14ac:dyDescent="0.25">
      <c r="B15" s="73"/>
      <c r="C15" s="79"/>
      <c r="G15" s="80"/>
      <c r="H15" s="80"/>
      <c r="I15" s="417"/>
      <c r="J15" s="2103"/>
      <c r="K15" s="2103"/>
      <c r="L15" s="2103"/>
      <c r="M15" s="2103"/>
      <c r="N15" s="2103"/>
      <c r="O15" s="2103"/>
      <c r="P15" s="2103"/>
      <c r="Q15" s="2103"/>
      <c r="R15" s="2103"/>
    </row>
    <row r="16" spans="2:18" ht="18" customHeight="1" x14ac:dyDescent="0.25">
      <c r="B16" s="73"/>
      <c r="C16" s="79"/>
      <c r="G16" s="80"/>
      <c r="H16" s="80"/>
      <c r="I16" s="417"/>
      <c r="J16" s="2103"/>
      <c r="K16" s="2103"/>
      <c r="L16" s="2103"/>
      <c r="M16" s="2103"/>
      <c r="N16" s="2103"/>
      <c r="O16" s="2103"/>
      <c r="P16" s="2103"/>
      <c r="Q16" s="2103"/>
      <c r="R16" s="2103"/>
    </row>
    <row r="17" spans="1:18" ht="18" customHeight="1" x14ac:dyDescent="0.25">
      <c r="B17" s="73"/>
      <c r="C17" s="80"/>
      <c r="G17" s="80"/>
      <c r="H17" s="80"/>
      <c r="I17" s="417"/>
      <c r="J17" s="77"/>
      <c r="K17" s="77"/>
      <c r="L17" s="77"/>
      <c r="M17" s="77"/>
      <c r="N17" s="77"/>
      <c r="O17" s="77"/>
      <c r="P17" s="77"/>
      <c r="Q17" s="77"/>
      <c r="R17" s="77"/>
    </row>
    <row r="18" spans="1:18" ht="18" customHeight="1" x14ac:dyDescent="0.25">
      <c r="B18" s="73"/>
      <c r="C18" s="79"/>
      <c r="D18" s="80"/>
      <c r="E18" s="80"/>
      <c r="F18" s="80"/>
      <c r="G18" s="80"/>
      <c r="H18" s="80"/>
      <c r="I18" s="112" t="s">
        <v>774</v>
      </c>
      <c r="J18" s="2102" t="s">
        <v>498</v>
      </c>
      <c r="K18" s="2102"/>
      <c r="L18" s="2102"/>
      <c r="M18" s="2102"/>
      <c r="N18" s="2102"/>
      <c r="O18" s="2102"/>
      <c r="P18" s="2102"/>
      <c r="Q18" s="2102"/>
      <c r="R18" s="2102"/>
    </row>
    <row r="19" spans="1:18" ht="18" customHeight="1" x14ac:dyDescent="0.25">
      <c r="B19" s="73"/>
      <c r="C19" s="80"/>
      <c r="D19" s="79"/>
      <c r="E19" s="79"/>
      <c r="F19" s="79"/>
      <c r="G19" s="79"/>
      <c r="H19" s="79"/>
      <c r="I19" s="79"/>
      <c r="J19" s="2102"/>
      <c r="K19" s="2102"/>
      <c r="L19" s="2102"/>
      <c r="M19" s="2102"/>
      <c r="N19" s="2102"/>
      <c r="O19" s="2102"/>
      <c r="P19" s="2102"/>
      <c r="Q19" s="2102"/>
      <c r="R19" s="2102"/>
    </row>
    <row r="20" spans="1:18" ht="18" customHeight="1" x14ac:dyDescent="0.25">
      <c r="B20" s="73"/>
      <c r="C20" s="79"/>
      <c r="D20" s="79"/>
      <c r="E20" s="79"/>
      <c r="F20" s="79"/>
      <c r="G20" s="79"/>
      <c r="H20" s="79"/>
      <c r="I20" s="79"/>
      <c r="J20" s="2102"/>
      <c r="K20" s="2102"/>
      <c r="L20" s="2102"/>
      <c r="M20" s="2102"/>
      <c r="N20" s="2102"/>
      <c r="O20" s="2102"/>
      <c r="P20" s="2102"/>
      <c r="Q20" s="2102"/>
      <c r="R20" s="2102"/>
    </row>
    <row r="21" spans="1:18" ht="40.15" customHeight="1" x14ac:dyDescent="0.25">
      <c r="A21" s="523"/>
      <c r="B21" s="418"/>
      <c r="C21" s="419"/>
      <c r="D21" s="419"/>
      <c r="E21" s="419"/>
      <c r="F21" s="419"/>
      <c r="G21" s="422"/>
      <c r="I21" s="79"/>
      <c r="J21" s="2102"/>
      <c r="K21" s="2102"/>
      <c r="L21" s="2102"/>
      <c r="M21" s="2102"/>
      <c r="N21" s="2102"/>
      <c r="O21" s="2102"/>
      <c r="P21" s="2102"/>
      <c r="Q21" s="2102"/>
      <c r="R21" s="2102"/>
    </row>
    <row r="22" spans="1:18" ht="34.9" customHeight="1" x14ac:dyDescent="0.25">
      <c r="B22" s="75"/>
      <c r="C22" s="75"/>
      <c r="D22" s="75"/>
      <c r="E22" s="75"/>
      <c r="F22" s="75"/>
      <c r="G22" s="75"/>
      <c r="H22" s="75"/>
      <c r="I22" s="75"/>
      <c r="J22" s="2102"/>
      <c r="K22" s="2102"/>
      <c r="L22" s="2102"/>
      <c r="M22" s="2102"/>
      <c r="N22" s="2102"/>
      <c r="O22" s="2102"/>
      <c r="P22" s="2102"/>
      <c r="Q22" s="2102"/>
      <c r="R22" s="2102"/>
    </row>
    <row r="23" spans="1:18" ht="18" customHeight="1" x14ac:dyDescent="0.25">
      <c r="B23" s="75"/>
      <c r="C23" s="207" t="s">
        <v>499</v>
      </c>
      <c r="D23" s="524" t="s">
        <v>472</v>
      </c>
      <c r="E23" s="76"/>
      <c r="F23" s="75"/>
      <c r="G23" s="75"/>
      <c r="H23" s="75"/>
      <c r="J23" s="2102"/>
      <c r="K23" s="2102"/>
      <c r="L23" s="2102"/>
      <c r="M23" s="2102"/>
      <c r="N23" s="2102"/>
      <c r="O23" s="2102"/>
      <c r="P23" s="2102"/>
      <c r="Q23" s="2102"/>
      <c r="R23" s="2102"/>
    </row>
    <row r="24" spans="1:18" ht="18" customHeight="1" x14ac:dyDescent="0.25">
      <c r="B24" s="75"/>
      <c r="C24" s="207" t="s">
        <v>500</v>
      </c>
      <c r="D24" s="525" t="s">
        <v>1</v>
      </c>
      <c r="E24" s="420"/>
      <c r="F24" s="421"/>
      <c r="G24" s="421"/>
      <c r="H24" s="75"/>
      <c r="I24" s="1632" t="s">
        <v>0</v>
      </c>
      <c r="J24" s="75"/>
      <c r="K24" s="75"/>
      <c r="L24" s="75"/>
      <c r="O24" s="80"/>
      <c r="P24" s="80"/>
    </row>
    <row r="25" spans="1:18" ht="18" customHeight="1" x14ac:dyDescent="0.25">
      <c r="B25" s="75"/>
      <c r="C25" s="207" t="s">
        <v>501</v>
      </c>
      <c r="D25" s="525" t="s">
        <v>2</v>
      </c>
      <c r="E25" s="420"/>
      <c r="F25" s="421"/>
      <c r="G25" s="421"/>
      <c r="H25" s="75"/>
      <c r="I25" s="75"/>
      <c r="J25" s="75"/>
      <c r="K25" s="75"/>
      <c r="L25" s="75"/>
      <c r="O25" s="80"/>
      <c r="P25" s="80"/>
    </row>
    <row r="26" spans="1:18" ht="18" customHeight="1" x14ac:dyDescent="0.25">
      <c r="B26" s="75"/>
      <c r="C26" s="207" t="s">
        <v>502</v>
      </c>
      <c r="D26" s="525" t="s">
        <v>2</v>
      </c>
      <c r="E26" s="421"/>
      <c r="F26" s="421"/>
      <c r="G26" s="421"/>
      <c r="H26" s="75"/>
      <c r="I26" s="75"/>
      <c r="J26" s="75"/>
      <c r="K26" s="75"/>
      <c r="L26" s="75"/>
      <c r="O26" s="79"/>
    </row>
    <row r="27" spans="1:18" ht="14.25" customHeight="1" x14ac:dyDescent="0.25">
      <c r="B27" s="75"/>
      <c r="C27" s="75"/>
      <c r="D27" s="75"/>
      <c r="E27" s="75"/>
      <c r="F27" s="75"/>
      <c r="G27" s="75"/>
      <c r="H27" s="75"/>
      <c r="I27" s="75"/>
      <c r="J27" s="75"/>
      <c r="K27" s="75"/>
      <c r="L27" s="75"/>
    </row>
    <row r="28" spans="1:18" ht="14.25" customHeight="1" x14ac:dyDescent="0.25">
      <c r="B28" s="75"/>
      <c r="C28" s="75"/>
      <c r="D28" s="75"/>
      <c r="E28" s="75"/>
      <c r="F28" s="75"/>
      <c r="G28" s="75"/>
      <c r="H28" s="75"/>
      <c r="I28" s="75"/>
      <c r="J28" s="75"/>
      <c r="K28" s="75"/>
      <c r="L28" s="75"/>
    </row>
    <row r="29" spans="1:18" ht="14.25" customHeight="1" x14ac:dyDescent="0.25">
      <c r="B29" s="73"/>
      <c r="C29" s="79"/>
      <c r="D29" s="79"/>
      <c r="E29" s="79"/>
      <c r="F29" s="79"/>
      <c r="G29" s="79"/>
      <c r="H29" s="79"/>
      <c r="I29" s="79"/>
      <c r="J29" s="79"/>
      <c r="K29" s="79"/>
      <c r="L29" s="79"/>
    </row>
    <row r="30" spans="1:18" ht="14.25" customHeight="1" x14ac:dyDescent="0.25">
      <c r="B30" s="73"/>
      <c r="C30" s="79"/>
      <c r="D30" s="79"/>
      <c r="E30" s="79"/>
      <c r="F30" s="79"/>
      <c r="G30" s="79"/>
      <c r="H30" s="79"/>
      <c r="I30" s="79"/>
      <c r="J30" s="79"/>
      <c r="K30" s="79"/>
      <c r="L30" s="79"/>
    </row>
    <row r="31" spans="1:18" ht="14.25" customHeight="1" x14ac:dyDescent="0.25">
      <c r="B31" s="73"/>
      <c r="C31" s="79"/>
      <c r="D31" s="79"/>
      <c r="E31" s="79"/>
      <c r="F31" s="79"/>
      <c r="G31" s="79"/>
      <c r="H31" s="79"/>
      <c r="I31" s="79"/>
      <c r="J31" s="79"/>
      <c r="K31" s="79"/>
      <c r="L31" s="79"/>
    </row>
    <row r="32" spans="1:18" ht="14.25" customHeight="1" x14ac:dyDescent="0.25">
      <c r="B32" s="73"/>
      <c r="C32" s="79"/>
      <c r="D32" s="79"/>
      <c r="E32" s="79"/>
      <c r="F32" s="79"/>
      <c r="G32" s="79"/>
      <c r="H32" s="79"/>
      <c r="I32" s="79"/>
      <c r="J32" s="79"/>
      <c r="K32" s="79"/>
      <c r="L32" s="79"/>
    </row>
    <row r="33" spans="2:12" ht="14.25" customHeight="1" x14ac:dyDescent="0.25">
      <c r="B33" s="73"/>
      <c r="C33" s="79"/>
      <c r="H33" s="79"/>
      <c r="I33" s="79"/>
      <c r="J33" s="79"/>
      <c r="K33" s="79"/>
      <c r="L33" s="79"/>
    </row>
    <row r="34" spans="2:12" ht="14.25" customHeight="1" x14ac:dyDescent="0.25">
      <c r="B34" s="73"/>
      <c r="C34" s="79"/>
      <c r="H34" s="79"/>
      <c r="I34" s="79"/>
      <c r="J34" s="79"/>
      <c r="K34" s="79"/>
      <c r="L34" s="79"/>
    </row>
    <row r="35" spans="2:12" ht="14.25" customHeight="1" x14ac:dyDescent="0.25">
      <c r="B35" s="73"/>
      <c r="C35" s="79"/>
      <c r="D35" s="79"/>
      <c r="E35" s="79"/>
      <c r="F35" s="79"/>
      <c r="G35" s="79"/>
      <c r="H35" s="79"/>
      <c r="I35" s="79"/>
      <c r="J35" s="79"/>
      <c r="K35" s="79"/>
      <c r="L35" s="79"/>
    </row>
    <row r="36" spans="2:12" ht="14.25" customHeight="1" x14ac:dyDescent="0.25">
      <c r="B36" s="73"/>
      <c r="C36" s="79"/>
      <c r="D36" s="79"/>
      <c r="E36" s="79"/>
      <c r="F36" s="79"/>
      <c r="G36" s="79"/>
      <c r="H36" s="79"/>
      <c r="I36" s="79"/>
      <c r="J36" s="79"/>
      <c r="K36" s="79"/>
      <c r="L36" s="79"/>
    </row>
    <row r="37" spans="2:12" ht="14.25" customHeight="1" x14ac:dyDescent="0.25">
      <c r="B37" s="73"/>
      <c r="C37" s="79" t="s">
        <v>3</v>
      </c>
      <c r="D37" s="79"/>
      <c r="E37" s="79"/>
      <c r="F37" s="79"/>
      <c r="G37" s="79"/>
      <c r="H37" s="79"/>
      <c r="I37" s="79"/>
      <c r="J37" s="79"/>
      <c r="K37" s="79"/>
      <c r="L37" s="79"/>
    </row>
    <row r="38" spans="2:12" ht="14.25" customHeight="1" x14ac:dyDescent="0.25">
      <c r="B38" s="73"/>
      <c r="C38" s="79"/>
      <c r="D38" s="79"/>
      <c r="E38" s="79"/>
      <c r="F38" s="79"/>
      <c r="G38" s="79"/>
      <c r="H38" s="79"/>
      <c r="I38" s="79"/>
      <c r="J38" s="79"/>
      <c r="K38" s="79"/>
      <c r="L38" s="79"/>
    </row>
    <row r="39" spans="2:12" ht="14.25" customHeight="1" x14ac:dyDescent="0.25">
      <c r="B39" s="73"/>
      <c r="C39" s="79"/>
      <c r="D39" s="79"/>
      <c r="E39" s="79"/>
      <c r="F39" s="79"/>
      <c r="G39" s="79"/>
      <c r="H39" s="79"/>
      <c r="I39" s="79"/>
      <c r="J39" s="79"/>
      <c r="K39" s="79"/>
      <c r="L39" s="79"/>
    </row>
    <row r="40" spans="2:12" ht="14.25" customHeight="1" x14ac:dyDescent="0.25">
      <c r="B40" s="73"/>
      <c r="C40" s="79"/>
      <c r="D40" s="79"/>
      <c r="E40" s="79"/>
      <c r="F40" s="79"/>
      <c r="G40" s="79"/>
      <c r="H40" s="79"/>
      <c r="I40" s="79"/>
      <c r="J40" s="79"/>
      <c r="K40" s="79"/>
      <c r="L40" s="79"/>
    </row>
    <row r="41" spans="2:12" ht="14.25" customHeight="1" x14ac:dyDescent="0.25">
      <c r="B41" s="73"/>
      <c r="C41" s="79"/>
      <c r="D41" s="79"/>
      <c r="E41" s="79"/>
      <c r="F41" s="79"/>
      <c r="G41" s="79"/>
      <c r="H41" s="79"/>
      <c r="I41" s="79"/>
      <c r="J41" s="79"/>
      <c r="K41" s="79"/>
      <c r="L41" s="79"/>
    </row>
    <row r="42" spans="2:12" ht="14.25" customHeight="1" x14ac:dyDescent="0.25">
      <c r="B42" s="73"/>
      <c r="C42" s="79"/>
      <c r="D42" s="79"/>
      <c r="E42" s="79"/>
      <c r="F42" s="79"/>
      <c r="G42" s="79"/>
      <c r="H42" s="79"/>
      <c r="I42" s="79"/>
      <c r="J42" s="79"/>
      <c r="K42" s="79"/>
      <c r="L42" s="79"/>
    </row>
    <row r="43" spans="2:12" ht="14.25" customHeight="1" x14ac:dyDescent="0.25">
      <c r="B43" s="73"/>
      <c r="C43" s="79"/>
      <c r="D43" s="79"/>
      <c r="E43" s="79"/>
      <c r="F43" s="79"/>
      <c r="G43" s="79"/>
      <c r="H43" s="79"/>
      <c r="I43" s="79"/>
      <c r="J43" s="79"/>
      <c r="K43" s="79"/>
      <c r="L43" s="79"/>
    </row>
    <row r="44" spans="2:12" ht="14.25" customHeight="1" x14ac:dyDescent="0.25">
      <c r="B44" s="73"/>
      <c r="C44" s="79"/>
      <c r="D44" s="79"/>
      <c r="E44" s="79"/>
      <c r="F44" s="79"/>
      <c r="G44" s="79"/>
      <c r="H44" s="79"/>
      <c r="I44" s="79"/>
      <c r="J44" s="79"/>
      <c r="K44" s="79"/>
      <c r="L44" s="79"/>
    </row>
    <row r="45" spans="2:12" ht="14.25" customHeight="1" x14ac:dyDescent="0.25">
      <c r="B45" s="73"/>
      <c r="C45" s="79"/>
      <c r="D45" s="79"/>
      <c r="E45" s="79"/>
      <c r="F45" s="79"/>
      <c r="G45" s="79"/>
      <c r="H45" s="79"/>
      <c r="I45" s="79"/>
      <c r="J45" s="79"/>
      <c r="K45" s="79"/>
      <c r="L45" s="79"/>
    </row>
    <row r="46" spans="2:12" ht="14.25" customHeight="1" x14ac:dyDescent="0.25">
      <c r="B46" s="73"/>
      <c r="C46" s="79"/>
      <c r="D46" s="79"/>
      <c r="E46" s="79"/>
      <c r="F46" s="79"/>
      <c r="G46" s="79"/>
      <c r="H46" s="79"/>
      <c r="I46" s="79"/>
      <c r="J46" s="79"/>
      <c r="K46" s="79"/>
      <c r="L46" s="79"/>
    </row>
    <row r="47" spans="2:12" ht="14.25" customHeight="1" x14ac:dyDescent="0.25">
      <c r="B47" s="73"/>
      <c r="C47" s="79"/>
      <c r="D47" s="79"/>
      <c r="E47" s="79"/>
      <c r="F47" s="79"/>
      <c r="G47" s="79"/>
      <c r="H47" s="79"/>
      <c r="I47" s="79"/>
      <c r="J47" s="79"/>
      <c r="K47" s="79"/>
      <c r="L47" s="79"/>
    </row>
    <row r="48" spans="2:12" ht="14.25" customHeight="1" x14ac:dyDescent="0.25">
      <c r="B48" s="73"/>
      <c r="C48" s="79"/>
    </row>
    <row r="49" spans="2:3" ht="14.25" customHeight="1" x14ac:dyDescent="0.25">
      <c r="B49" s="73"/>
      <c r="C49" s="79"/>
    </row>
    <row r="50" spans="2:3" ht="14.25" customHeight="1" x14ac:dyDescent="0.25">
      <c r="B50" s="73"/>
      <c r="C50" s="79"/>
    </row>
    <row r="51" spans="2:3" ht="14.25" customHeight="1" x14ac:dyDescent="0.25">
      <c r="B51" s="73"/>
      <c r="C51" s="79"/>
    </row>
    <row r="52" spans="2:3" ht="14.25" customHeight="1" x14ac:dyDescent="0.25">
      <c r="B52" s="73"/>
      <c r="C52" s="79"/>
    </row>
    <row r="53" spans="2:3" ht="14.25" customHeight="1" x14ac:dyDescent="0.25">
      <c r="B53" s="73"/>
      <c r="C53" s="81"/>
    </row>
    <row r="54" spans="2:3" ht="14.25" customHeight="1" x14ac:dyDescent="0.25">
      <c r="B54" s="73"/>
      <c r="C54" s="82"/>
    </row>
    <row r="55" spans="2:3" ht="14.25" customHeight="1" x14ac:dyDescent="0.25">
      <c r="B55" s="73"/>
      <c r="C55" s="82"/>
    </row>
    <row r="56" spans="2:3" ht="14.25" customHeight="1" x14ac:dyDescent="0.25">
      <c r="B56" s="73"/>
      <c r="C56" s="82"/>
    </row>
    <row r="57" spans="2:3" ht="14.25" customHeight="1" x14ac:dyDescent="0.25">
      <c r="B57" s="73"/>
      <c r="C57" s="82"/>
    </row>
    <row r="58" spans="2:3" ht="14.25" customHeight="1" x14ac:dyDescent="0.25">
      <c r="B58" s="73"/>
      <c r="C58" s="82"/>
    </row>
    <row r="59" spans="2:3" ht="14.25" customHeight="1" x14ac:dyDescent="0.25">
      <c r="B59" s="73"/>
      <c r="C59" s="82"/>
    </row>
    <row r="60" spans="2:3" ht="14.25" customHeight="1" x14ac:dyDescent="0.25">
      <c r="B60" s="73"/>
      <c r="C60" s="82"/>
    </row>
    <row r="61" spans="2:3" ht="14.25" customHeight="1" x14ac:dyDescent="0.25">
      <c r="B61" s="73"/>
      <c r="C61" s="82"/>
    </row>
    <row r="62" spans="2:3" ht="14.25" customHeight="1" x14ac:dyDescent="0.25">
      <c r="B62" s="73"/>
      <c r="C62" s="82"/>
    </row>
    <row r="63" spans="2:3" ht="14.25" customHeight="1" x14ac:dyDescent="0.25">
      <c r="B63" s="73"/>
      <c r="C63" s="82"/>
    </row>
    <row r="64" spans="2:3" ht="14.25" customHeight="1" x14ac:dyDescent="0.25">
      <c r="B64" s="73"/>
      <c r="C64" s="82"/>
    </row>
    <row r="65" spans="2:3" ht="14.25" customHeight="1" x14ac:dyDescent="0.25">
      <c r="B65" s="73"/>
      <c r="C65" s="82"/>
    </row>
    <row r="66" spans="2:3" ht="14.25" customHeight="1" x14ac:dyDescent="0.25">
      <c r="B66" s="73"/>
      <c r="C66" s="82"/>
    </row>
    <row r="67" spans="2:3" ht="14.25" customHeight="1" x14ac:dyDescent="0.25">
      <c r="B67" s="73"/>
      <c r="C67" s="82"/>
    </row>
    <row r="68" spans="2:3" ht="14.25" customHeight="1" x14ac:dyDescent="0.25">
      <c r="B68" s="73"/>
      <c r="C68" s="82"/>
    </row>
    <row r="69" spans="2:3" ht="14.25" customHeight="1" x14ac:dyDescent="0.25">
      <c r="B69" s="73"/>
      <c r="C69" s="82"/>
    </row>
    <row r="70" spans="2:3" ht="14.25" customHeight="1" x14ac:dyDescent="0.25">
      <c r="B70" s="73"/>
      <c r="C70" s="82"/>
    </row>
    <row r="71" spans="2:3" ht="14.25" customHeight="1" x14ac:dyDescent="0.25">
      <c r="B71" s="73"/>
      <c r="C71" s="82"/>
    </row>
    <row r="72" spans="2:3" ht="14.25" customHeight="1" x14ac:dyDescent="0.25">
      <c r="B72" s="73"/>
      <c r="C72" s="82"/>
    </row>
    <row r="73" spans="2:3" ht="14.25" customHeight="1" x14ac:dyDescent="0.25">
      <c r="B73" s="73"/>
      <c r="C73" s="82"/>
    </row>
    <row r="74" spans="2:3" ht="14.25" customHeight="1" x14ac:dyDescent="0.25">
      <c r="B74" s="73"/>
      <c r="C74" s="82"/>
    </row>
    <row r="75" spans="2:3" ht="14.25" customHeight="1" x14ac:dyDescent="0.25">
      <c r="B75" s="73"/>
      <c r="C75" s="82"/>
    </row>
    <row r="76" spans="2:3" ht="14.25" customHeight="1" x14ac:dyDescent="0.25">
      <c r="B76" s="73"/>
      <c r="C76" s="82"/>
    </row>
    <row r="77" spans="2:3" ht="14.25" customHeight="1" x14ac:dyDescent="0.25">
      <c r="B77" s="73"/>
      <c r="C77" s="82"/>
    </row>
    <row r="78" spans="2:3" ht="14.25" customHeight="1" x14ac:dyDescent="0.25">
      <c r="B78" s="73"/>
      <c r="C78" s="82"/>
    </row>
    <row r="79" spans="2:3" ht="14.25" customHeight="1" x14ac:dyDescent="0.25">
      <c r="B79" s="73"/>
      <c r="C79" s="79"/>
    </row>
    <row r="80" spans="2:3" ht="14.25" customHeight="1" x14ac:dyDescent="0.25">
      <c r="B80" s="73"/>
      <c r="C80" s="79"/>
    </row>
    <row r="81" spans="2:3" ht="14.25" customHeight="1" x14ac:dyDescent="0.25">
      <c r="B81" s="73"/>
      <c r="C81" s="79"/>
    </row>
    <row r="82" spans="2:3" ht="14.25" customHeight="1" x14ac:dyDescent="0.25">
      <c r="B82" s="73"/>
      <c r="C82" s="79"/>
    </row>
    <row r="83" spans="2:3" ht="14.25" customHeight="1" x14ac:dyDescent="0.25">
      <c r="B83" s="73"/>
      <c r="C83" s="79"/>
    </row>
    <row r="84" spans="2:3" ht="14.25" customHeight="1" x14ac:dyDescent="0.25">
      <c r="B84" s="73"/>
      <c r="C84" s="79"/>
    </row>
    <row r="85" spans="2:3" ht="14.25" customHeight="1" x14ac:dyDescent="0.25">
      <c r="B85" s="73"/>
      <c r="C85" s="79"/>
    </row>
    <row r="86" spans="2:3" ht="14.25" customHeight="1" x14ac:dyDescent="0.25">
      <c r="B86" s="73"/>
      <c r="C86" s="79"/>
    </row>
    <row r="87" spans="2:3" ht="14.25" customHeight="1" x14ac:dyDescent="0.25">
      <c r="B87" s="73"/>
      <c r="C87" s="79"/>
    </row>
    <row r="88" spans="2:3" ht="14.25" customHeight="1" x14ac:dyDescent="0.25">
      <c r="B88" s="73"/>
      <c r="C88" s="79"/>
    </row>
    <row r="89" spans="2:3" ht="14.25" customHeight="1" x14ac:dyDescent="0.25">
      <c r="B89" s="73"/>
      <c r="C89" s="79"/>
    </row>
    <row r="90" spans="2:3" ht="14.25" customHeight="1" x14ac:dyDescent="0.25">
      <c r="B90" s="73"/>
      <c r="C90" s="79"/>
    </row>
    <row r="91" spans="2:3" ht="14.25" customHeight="1" x14ac:dyDescent="0.25">
      <c r="B91" s="73"/>
      <c r="C91" s="79"/>
    </row>
    <row r="92" spans="2:3" ht="14.25" customHeight="1" x14ac:dyDescent="0.25">
      <c r="B92" s="73"/>
      <c r="C92" s="79"/>
    </row>
    <row r="93" spans="2:3" ht="14.25" customHeight="1" x14ac:dyDescent="0.25">
      <c r="B93" s="73"/>
      <c r="C93" s="79"/>
    </row>
    <row r="94" spans="2:3" ht="14.25" customHeight="1" x14ac:dyDescent="0.25">
      <c r="B94" s="73"/>
      <c r="C94" s="79"/>
    </row>
    <row r="95" spans="2:3" ht="14.25" customHeight="1" x14ac:dyDescent="0.25">
      <c r="B95" s="73"/>
      <c r="C95" s="79"/>
    </row>
    <row r="96" spans="2:3" ht="14.25" customHeight="1" x14ac:dyDescent="0.25">
      <c r="B96" s="73"/>
      <c r="C96" s="79"/>
    </row>
    <row r="97" spans="2:3" ht="14.25" customHeight="1" x14ac:dyDescent="0.25">
      <c r="B97" s="73"/>
      <c r="C97" s="79"/>
    </row>
    <row r="98" spans="2:3" ht="14.25" customHeight="1" x14ac:dyDescent="0.25">
      <c r="B98" s="73"/>
      <c r="C98" s="79"/>
    </row>
    <row r="99" spans="2:3" ht="14.25" customHeight="1" x14ac:dyDescent="0.25">
      <c r="B99" s="73"/>
      <c r="C99" s="79"/>
    </row>
    <row r="100" spans="2:3" ht="14.25" customHeight="1" x14ac:dyDescent="0.25">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2578125" defaultRowHeight="15" customHeight="1" x14ac:dyDescent="0.25"/>
  <cols>
    <col min="1" max="1" width="0.28515625" style="86" customWidth="1"/>
    <col min="2" max="2" width="1" style="86" customWidth="1"/>
    <col min="3" max="3" width="36.28515625" style="86" customWidth="1"/>
    <col min="4" max="4" width="14.42578125" style="86" customWidth="1"/>
    <col min="5" max="5" width="12.42578125" style="86" customWidth="1"/>
    <col min="6" max="6" width="11.42578125" style="86" customWidth="1"/>
    <col min="7" max="7" width="16.7109375" style="86" customWidth="1"/>
    <col min="8" max="8" width="11.28515625" style="86" customWidth="1"/>
    <col min="9" max="9" width="12.28515625" style="86" customWidth="1"/>
    <col min="10" max="10" width="13.28515625" style="86" customWidth="1"/>
    <col min="11" max="11" width="15.42578125" style="86" customWidth="1"/>
    <col min="12" max="13" width="13.28515625" style="86" customWidth="1"/>
    <col min="14" max="14" width="10.42578125" style="86" customWidth="1"/>
    <col min="15" max="15" width="3.28515625" style="86" customWidth="1"/>
    <col min="16" max="16" width="9.7109375" style="86" hidden="1" customWidth="1"/>
    <col min="17" max="17" width="11.42578125" style="86" customWidth="1"/>
    <col min="18" max="18" width="10.28515625" style="84"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25">
      <c r="A2" s="85"/>
      <c r="B2" s="434"/>
      <c r="C2" s="531" t="s">
        <v>485</v>
      </c>
      <c r="D2" s="2111" t="s">
        <v>1000</v>
      </c>
      <c r="E2" s="2112"/>
      <c r="F2" s="2113"/>
      <c r="G2" s="434"/>
      <c r="H2" s="2114" t="s">
        <v>5</v>
      </c>
      <c r="I2" s="2115"/>
      <c r="J2" s="2116"/>
      <c r="K2" s="434"/>
      <c r="L2" s="434"/>
      <c r="M2" s="434"/>
      <c r="N2" s="434"/>
      <c r="O2" s="983"/>
      <c r="P2" s="983" t="s">
        <v>6</v>
      </c>
      <c r="Q2" s="983"/>
      <c r="R2" s="983"/>
      <c r="S2" s="983"/>
      <c r="T2" s="983"/>
      <c r="U2" s="983"/>
      <c r="V2" s="3"/>
      <c r="W2" s="3"/>
      <c r="X2" s="3"/>
      <c r="Y2" s="3"/>
    </row>
    <row r="3" spans="1:25" ht="18" customHeight="1" x14ac:dyDescent="0.25">
      <c r="A3" s="85"/>
      <c r="B3" s="434"/>
      <c r="C3" s="531" t="s">
        <v>486</v>
      </c>
      <c r="D3" s="2111" t="s">
        <v>1001</v>
      </c>
      <c r="E3" s="2112"/>
      <c r="F3" s="2113"/>
      <c r="G3" s="434"/>
      <c r="H3" s="2117"/>
      <c r="I3" s="2118"/>
      <c r="J3" s="2119"/>
      <c r="K3" s="434"/>
      <c r="L3" s="434"/>
      <c r="M3" s="434"/>
      <c r="N3" s="434"/>
      <c r="O3" s="983"/>
      <c r="P3" s="983" t="s">
        <v>7</v>
      </c>
      <c r="Q3" s="983"/>
      <c r="R3" s="983"/>
      <c r="S3" s="983"/>
      <c r="T3" s="983"/>
      <c r="U3" s="983"/>
      <c r="V3" s="3"/>
      <c r="W3" s="3"/>
      <c r="X3" s="3"/>
      <c r="Y3" s="3"/>
    </row>
    <row r="4" spans="1:25" ht="18" customHeight="1" x14ac:dyDescent="0.3">
      <c r="A4" s="85"/>
      <c r="B4" s="434"/>
      <c r="C4" s="434"/>
      <c r="D4" s="434"/>
      <c r="E4" s="434"/>
      <c r="F4" s="434"/>
      <c r="G4" s="434"/>
      <c r="H4" s="434"/>
      <c r="I4" s="434"/>
      <c r="J4" s="434"/>
      <c r="K4" s="434"/>
      <c r="L4" s="2124" t="s">
        <v>473</v>
      </c>
      <c r="M4" s="2125"/>
      <c r="N4" s="2125"/>
      <c r="O4" s="983"/>
      <c r="P4" s="983"/>
      <c r="Q4" s="983"/>
      <c r="R4" s="983"/>
      <c r="S4" s="983"/>
      <c r="T4" s="983"/>
      <c r="U4" s="983"/>
      <c r="V4" s="3"/>
      <c r="W4" s="3"/>
      <c r="X4" s="3"/>
      <c r="Y4" s="3"/>
    </row>
    <row r="5" spans="1:25" ht="18" customHeight="1" x14ac:dyDescent="0.3">
      <c r="A5" s="526"/>
      <c r="B5" s="90"/>
      <c r="C5" s="93" t="s">
        <v>8</v>
      </c>
      <c r="D5" s="91"/>
      <c r="E5" s="91"/>
      <c r="F5" s="434"/>
      <c r="G5" s="434"/>
      <c r="H5" s="212" t="s">
        <v>503</v>
      </c>
      <c r="I5" s="423"/>
      <c r="J5" s="424"/>
      <c r="K5" s="85"/>
      <c r="L5" s="2126" t="str">
        <f>Apresentação!I2</f>
        <v>RC-RSU V.1.0 - 15/10/2020</v>
      </c>
      <c r="M5" s="2126"/>
      <c r="N5" s="2126"/>
      <c r="O5" s="983"/>
      <c r="P5" s="983"/>
      <c r="Q5" s="983"/>
      <c r="R5" s="983"/>
      <c r="S5" s="983"/>
      <c r="T5" s="983"/>
      <c r="U5" s="983"/>
      <c r="V5" s="3"/>
      <c r="W5" s="3"/>
      <c r="X5" s="3"/>
      <c r="Y5" s="3"/>
    </row>
    <row r="6" spans="1:25" s="62" customFormat="1" ht="4.1500000000000004" customHeight="1" x14ac:dyDescent="0.25">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25">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25">
      <c r="A8" s="85"/>
      <c r="B8" s="434"/>
      <c r="C8" s="119"/>
      <c r="D8" s="113" t="s">
        <v>9</v>
      </c>
      <c r="E8" s="534">
        <v>411597</v>
      </c>
      <c r="F8" s="529" t="s">
        <v>1097</v>
      </c>
      <c r="G8" s="529" t="s">
        <v>1098</v>
      </c>
      <c r="H8" s="557"/>
      <c r="I8" s="433" t="s">
        <v>723</v>
      </c>
      <c r="J8" s="434"/>
      <c r="K8" s="434"/>
      <c r="L8" s="434"/>
      <c r="M8" s="434"/>
      <c r="N8" s="434"/>
      <c r="O8" s="983"/>
      <c r="P8" s="983" t="s">
        <v>10</v>
      </c>
      <c r="Q8" s="983"/>
      <c r="R8" s="983"/>
      <c r="S8" s="983"/>
      <c r="T8" s="983"/>
      <c r="U8" s="983"/>
      <c r="V8" s="3"/>
      <c r="W8" s="3"/>
      <c r="X8" s="3"/>
      <c r="Y8" s="3"/>
    </row>
    <row r="9" spans="1:25" ht="18" customHeight="1" x14ac:dyDescent="0.25">
      <c r="A9" s="85"/>
      <c r="B9" s="434"/>
      <c r="C9" s="436"/>
      <c r="D9" s="561" t="s">
        <v>814</v>
      </c>
      <c r="E9" s="535">
        <f>(E10+'R&amp;C-Painel de Controle'!D31)*1000/E8</f>
        <v>1.2826835908636798</v>
      </c>
      <c r="F9" s="602">
        <f>(E10)*1000/E8</f>
        <v>1.1369099336212798</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149999999999999" customHeight="1" x14ac:dyDescent="0.25">
      <c r="A10" s="85"/>
      <c r="B10" s="434"/>
      <c r="C10" s="436"/>
      <c r="D10" s="561" t="s">
        <v>12</v>
      </c>
      <c r="E10" s="534">
        <f>400*365/312</f>
        <v>467.94871794871796</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25">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25">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 customHeight="1" x14ac:dyDescent="0.25">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25">
      <c r="A14" s="85"/>
      <c r="B14" s="434"/>
      <c r="C14" s="562"/>
      <c r="D14" s="563" t="s">
        <v>504</v>
      </c>
      <c r="E14" s="560">
        <f>IF(E12="per capita",E9*E8/1000,E10)</f>
        <v>467.94871794871796</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25">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15" customHeight="1" x14ac:dyDescent="0.25">
      <c r="A16" s="85"/>
      <c r="B16" s="434"/>
      <c r="C16" s="2134" t="s">
        <v>931</v>
      </c>
      <c r="D16" s="2135"/>
      <c r="E16" s="2135"/>
      <c r="F16" s="2135"/>
      <c r="G16" s="2135"/>
      <c r="H16" s="2135"/>
      <c r="I16" s="2135"/>
      <c r="J16" s="434"/>
      <c r="K16" s="434"/>
      <c r="L16" s="434"/>
      <c r="M16" s="434"/>
      <c r="N16" s="434"/>
      <c r="O16" s="983"/>
      <c r="P16" s="983"/>
      <c r="Q16" s="983"/>
      <c r="R16" s="983"/>
      <c r="S16" s="983"/>
      <c r="T16" s="983"/>
      <c r="U16" s="983"/>
      <c r="V16" s="3"/>
      <c r="W16" s="3"/>
      <c r="X16" s="3"/>
      <c r="Y16" s="3"/>
    </row>
    <row r="17" spans="1:25" ht="18" customHeight="1" x14ac:dyDescent="0.25">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25">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25">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25">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25">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 customHeight="1" x14ac:dyDescent="0.25">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25">
      <c r="A23" s="87"/>
      <c r="B23" s="529"/>
      <c r="C23" s="2120" t="s">
        <v>16</v>
      </c>
      <c r="D23" s="2123" t="s">
        <v>736</v>
      </c>
      <c r="E23" s="2121"/>
      <c r="F23" s="2121"/>
      <c r="G23" s="2129" t="s">
        <v>830</v>
      </c>
      <c r="H23" s="2129" t="s">
        <v>17</v>
      </c>
      <c r="I23" s="2121"/>
      <c r="J23" s="529"/>
      <c r="K23" s="529"/>
      <c r="L23" s="529"/>
      <c r="M23" s="529"/>
      <c r="N23" s="434"/>
      <c r="O23" s="983"/>
      <c r="P23" s="983"/>
      <c r="Q23" s="983"/>
      <c r="R23" s="983"/>
      <c r="S23" s="983"/>
      <c r="T23" s="983"/>
      <c r="U23" s="983"/>
      <c r="V23" s="3"/>
      <c r="W23" s="7"/>
      <c r="X23" s="7"/>
      <c r="Y23" s="8"/>
    </row>
    <row r="24" spans="1:25" ht="18.399999999999999" hidden="1" customHeight="1" x14ac:dyDescent="0.25">
      <c r="A24" s="87"/>
      <c r="B24" s="529"/>
      <c r="C24" s="2121"/>
      <c r="D24" s="2122" t="s">
        <v>18</v>
      </c>
      <c r="E24" s="2122" t="s">
        <v>19</v>
      </c>
      <c r="F24" s="2122" t="s">
        <v>20</v>
      </c>
      <c r="G24" s="2121"/>
      <c r="H24" s="2121"/>
      <c r="I24" s="2121"/>
      <c r="J24" s="529"/>
      <c r="K24" s="547"/>
      <c r="L24" s="529"/>
      <c r="M24" s="529"/>
      <c r="N24" s="434"/>
      <c r="O24" s="983"/>
      <c r="P24" s="983"/>
      <c r="Q24" s="983"/>
      <c r="R24" s="983"/>
      <c r="S24" s="983"/>
      <c r="T24" s="983"/>
      <c r="U24" s="983"/>
      <c r="V24" s="3"/>
      <c r="W24" s="7"/>
      <c r="X24" s="7"/>
      <c r="Y24" s="7"/>
    </row>
    <row r="25" spans="1:25" ht="30.4" customHeight="1" x14ac:dyDescent="0.25">
      <c r="A25" s="85"/>
      <c r="B25" s="434"/>
      <c r="C25" s="2121"/>
      <c r="D25" s="2121"/>
      <c r="E25" s="2121"/>
      <c r="F25" s="2121"/>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25">
      <c r="A26" s="85"/>
      <c r="B26" s="434"/>
      <c r="C26" s="539" t="s">
        <v>24</v>
      </c>
      <c r="D26" s="981">
        <f>51.4-D27</f>
        <v>48.4</v>
      </c>
      <c r="E26" s="501">
        <f t="shared" ref="E26:E39" si="0">IF($G$21&lt;&gt;"Não",F26,D26)</f>
        <v>48.4</v>
      </c>
      <c r="F26" s="95">
        <v>48.4</v>
      </c>
      <c r="G26" s="98">
        <f t="shared" ref="G26:G39" si="1">$E$14*E26/100</f>
        <v>226.4871794871795</v>
      </c>
      <c r="H26" s="2130">
        <f>E26+E27</f>
        <v>51.4</v>
      </c>
      <c r="I26" s="2132" t="s">
        <v>25</v>
      </c>
      <c r="J26" s="434"/>
      <c r="K26" s="434"/>
      <c r="L26" s="434"/>
      <c r="M26" s="434"/>
      <c r="N26" s="434"/>
      <c r="O26" s="983"/>
      <c r="P26" s="983"/>
      <c r="Q26" s="983"/>
      <c r="R26" s="983"/>
      <c r="S26" s="983"/>
      <c r="T26" s="983"/>
      <c r="U26" s="983"/>
      <c r="V26" s="3"/>
      <c r="W26" s="3"/>
      <c r="X26" s="3"/>
      <c r="Y26" s="3"/>
    </row>
    <row r="27" spans="1:25" ht="18" customHeight="1" x14ac:dyDescent="0.25">
      <c r="A27" s="85"/>
      <c r="B27" s="434"/>
      <c r="C27" s="539" t="s">
        <v>26</v>
      </c>
      <c r="D27" s="981">
        <v>3</v>
      </c>
      <c r="E27" s="501">
        <f t="shared" si="0"/>
        <v>3</v>
      </c>
      <c r="F27" s="95">
        <v>3</v>
      </c>
      <c r="G27" s="98">
        <f t="shared" si="1"/>
        <v>14.038461538461538</v>
      </c>
      <c r="H27" s="2131"/>
      <c r="I27" s="2133"/>
      <c r="J27" s="434"/>
      <c r="K27" s="434"/>
      <c r="L27" s="434"/>
      <c r="M27" s="434"/>
      <c r="N27" s="434"/>
      <c r="O27" s="983"/>
      <c r="P27" s="983"/>
      <c r="Q27" s="983"/>
      <c r="R27" s="983"/>
      <c r="S27" s="983"/>
      <c r="T27" s="983"/>
      <c r="U27" s="983"/>
      <c r="V27" s="3"/>
      <c r="W27" s="3"/>
      <c r="X27" s="3"/>
      <c r="Y27" s="3"/>
    </row>
    <row r="28" spans="1:25" ht="18" customHeight="1" x14ac:dyDescent="0.25">
      <c r="A28" s="85"/>
      <c r="B28" s="434"/>
      <c r="C28" s="539" t="s">
        <v>27</v>
      </c>
      <c r="D28" s="981">
        <v>13.1</v>
      </c>
      <c r="E28" s="501">
        <f t="shared" si="0"/>
        <v>13.1</v>
      </c>
      <c r="F28" s="95">
        <v>13.1</v>
      </c>
      <c r="G28" s="98">
        <f t="shared" si="1"/>
        <v>61.301282051282051</v>
      </c>
      <c r="H28" s="2130">
        <f>SUM(E28:E33)</f>
        <v>31.900000000000002</v>
      </c>
      <c r="I28" s="2132" t="s">
        <v>28</v>
      </c>
      <c r="J28" s="434"/>
      <c r="K28" s="434"/>
      <c r="L28" s="544"/>
      <c r="M28" s="434"/>
      <c r="N28" s="434"/>
      <c r="O28" s="983"/>
      <c r="P28" s="983"/>
      <c r="Q28" s="983"/>
      <c r="R28" s="983"/>
      <c r="S28" s="983"/>
      <c r="T28" s="983"/>
      <c r="U28" s="983"/>
      <c r="V28" s="3"/>
      <c r="W28" s="3"/>
      <c r="X28" s="3"/>
      <c r="Y28" s="3"/>
    </row>
    <row r="29" spans="1:25" ht="18" customHeight="1" x14ac:dyDescent="0.25">
      <c r="A29" s="85"/>
      <c r="B29" s="434"/>
      <c r="C29" s="539" t="s">
        <v>29</v>
      </c>
      <c r="D29" s="981">
        <v>8.9</v>
      </c>
      <c r="E29" s="501">
        <f t="shared" si="0"/>
        <v>8.9</v>
      </c>
      <c r="F29" s="95">
        <v>8.9</v>
      </c>
      <c r="G29" s="98">
        <f t="shared" si="1"/>
        <v>41.647435897435898</v>
      </c>
      <c r="H29" s="2131"/>
      <c r="I29" s="2133"/>
      <c r="J29" s="434"/>
      <c r="K29" s="434"/>
      <c r="L29" s="434"/>
      <c r="M29" s="434"/>
      <c r="N29" s="434"/>
      <c r="O29" s="983"/>
      <c r="P29" s="983"/>
      <c r="Q29" s="983"/>
      <c r="R29" s="983"/>
      <c r="S29" s="983"/>
      <c r="T29" s="983"/>
      <c r="U29" s="983"/>
      <c r="V29" s="3"/>
      <c r="W29" s="3"/>
      <c r="X29" s="3"/>
      <c r="Y29" s="3"/>
    </row>
    <row r="30" spans="1:25" ht="18" customHeight="1" x14ac:dyDescent="0.25">
      <c r="A30" s="85"/>
      <c r="B30" s="434"/>
      <c r="C30" s="539" t="s">
        <v>30</v>
      </c>
      <c r="D30" s="981">
        <v>4.5999999999999996</v>
      </c>
      <c r="E30" s="501">
        <f t="shared" si="0"/>
        <v>4.5999999999999996</v>
      </c>
      <c r="F30" s="95">
        <v>4.5999999999999996</v>
      </c>
      <c r="G30" s="98">
        <f t="shared" si="1"/>
        <v>21.525641025641026</v>
      </c>
      <c r="H30" s="2131"/>
      <c r="I30" s="2133"/>
      <c r="J30" s="434"/>
      <c r="K30" s="434"/>
      <c r="L30" s="434"/>
      <c r="M30" s="434"/>
      <c r="N30" s="434"/>
      <c r="O30" s="983"/>
      <c r="P30" s="983"/>
      <c r="Q30" s="983"/>
      <c r="R30" s="983"/>
      <c r="S30" s="983"/>
      <c r="T30" s="983"/>
      <c r="U30" s="983"/>
      <c r="V30" s="3"/>
      <c r="W30" s="3"/>
      <c r="X30" s="3"/>
      <c r="Y30" s="3"/>
    </row>
    <row r="31" spans="1:25" ht="18" customHeight="1" x14ac:dyDescent="0.25">
      <c r="A31" s="85"/>
      <c r="B31" s="434"/>
      <c r="C31" s="539" t="s">
        <v>31</v>
      </c>
      <c r="D31" s="981">
        <v>2.4</v>
      </c>
      <c r="E31" s="501">
        <f t="shared" si="0"/>
        <v>2.4</v>
      </c>
      <c r="F31" s="95">
        <v>2.4</v>
      </c>
      <c r="G31" s="98">
        <f t="shared" si="1"/>
        <v>11.230769230769232</v>
      </c>
      <c r="H31" s="2131"/>
      <c r="I31" s="2133"/>
      <c r="J31" s="434"/>
      <c r="K31" s="434"/>
      <c r="L31" s="434"/>
      <c r="M31" s="434"/>
      <c r="N31" s="434"/>
      <c r="O31" s="983"/>
      <c r="P31" s="983"/>
      <c r="Q31" s="983"/>
      <c r="R31" s="983"/>
      <c r="S31" s="983"/>
      <c r="T31" s="983"/>
      <c r="U31" s="983"/>
      <c r="V31" s="3"/>
      <c r="W31" s="3"/>
      <c r="X31" s="3"/>
      <c r="Y31" s="3"/>
    </row>
    <row r="32" spans="1:25" ht="18" customHeight="1" x14ac:dyDescent="0.25">
      <c r="A32" s="85"/>
      <c r="B32" s="434"/>
      <c r="C32" s="539" t="s">
        <v>32</v>
      </c>
      <c r="D32" s="981">
        <v>2.2999999999999998</v>
      </c>
      <c r="E32" s="501">
        <f t="shared" si="0"/>
        <v>2.2999999999999998</v>
      </c>
      <c r="F32" s="95">
        <v>2.2999999999999998</v>
      </c>
      <c r="G32" s="98">
        <f t="shared" si="1"/>
        <v>10.762820512820513</v>
      </c>
      <c r="H32" s="2131"/>
      <c r="I32" s="2133"/>
      <c r="J32" s="434"/>
      <c r="K32" s="434"/>
      <c r="L32" s="434"/>
      <c r="M32" s="434"/>
      <c r="N32" s="434"/>
      <c r="O32" s="983"/>
      <c r="P32" s="983"/>
      <c r="Q32" s="983"/>
      <c r="R32" s="983"/>
      <c r="S32" s="983"/>
      <c r="T32" s="983"/>
      <c r="U32" s="983"/>
      <c r="V32" s="3"/>
      <c r="W32" s="3"/>
      <c r="X32" s="3"/>
      <c r="Y32" s="3"/>
    </row>
    <row r="33" spans="1:25" ht="18" customHeight="1" x14ac:dyDescent="0.25">
      <c r="A33" s="85"/>
      <c r="B33" s="434"/>
      <c r="C33" s="539" t="s">
        <v>33</v>
      </c>
      <c r="D33" s="981">
        <v>0.6</v>
      </c>
      <c r="E33" s="501">
        <f t="shared" si="0"/>
        <v>0.6</v>
      </c>
      <c r="F33" s="95">
        <v>0.6</v>
      </c>
      <c r="G33" s="98">
        <f t="shared" si="1"/>
        <v>2.8076923076923079</v>
      </c>
      <c r="H33" s="2131"/>
      <c r="I33" s="2133"/>
      <c r="J33" s="434"/>
      <c r="K33" s="434"/>
      <c r="L33" s="434"/>
      <c r="M33" s="434"/>
      <c r="N33" s="434"/>
      <c r="O33" s="983"/>
      <c r="P33" s="983"/>
      <c r="Q33" s="983"/>
      <c r="R33" s="983"/>
      <c r="S33" s="983"/>
      <c r="T33" s="983"/>
      <c r="U33" s="983"/>
      <c r="V33" s="3"/>
      <c r="W33" s="3"/>
      <c r="X33" s="3"/>
      <c r="Y33" s="3"/>
    </row>
    <row r="34" spans="1:25" ht="18" customHeight="1" x14ac:dyDescent="0.25">
      <c r="A34" s="85"/>
      <c r="B34" s="434"/>
      <c r="C34" s="539" t="s">
        <v>34</v>
      </c>
      <c r="D34" s="981">
        <v>4.45</v>
      </c>
      <c r="E34" s="501">
        <f t="shared" si="0"/>
        <v>4.45</v>
      </c>
      <c r="F34" s="95">
        <v>2.6</v>
      </c>
      <c r="G34" s="98">
        <f t="shared" si="1"/>
        <v>20.823717948717949</v>
      </c>
      <c r="H34" s="2130">
        <f>SUM(E34:E37)</f>
        <v>10.14</v>
      </c>
      <c r="I34" s="2137" t="s">
        <v>35</v>
      </c>
      <c r="J34" s="434"/>
      <c r="K34" s="434"/>
      <c r="L34" s="434"/>
      <c r="M34" s="434"/>
      <c r="N34" s="434"/>
      <c r="O34" s="983"/>
      <c r="P34" s="983"/>
      <c r="Q34" s="983"/>
      <c r="R34" s="983"/>
      <c r="S34" s="983"/>
      <c r="T34" s="983"/>
      <c r="U34" s="983"/>
      <c r="V34" s="3"/>
      <c r="W34" s="3"/>
      <c r="X34" s="3"/>
      <c r="Y34" s="3"/>
    </row>
    <row r="35" spans="1:25" ht="18" customHeight="1" x14ac:dyDescent="0.25">
      <c r="A35" s="85"/>
      <c r="B35" s="434"/>
      <c r="C35" s="539" t="s">
        <v>36</v>
      </c>
      <c r="D35" s="981">
        <v>0.96</v>
      </c>
      <c r="E35" s="501">
        <f t="shared" si="0"/>
        <v>0.96</v>
      </c>
      <c r="F35" s="95">
        <v>0.7</v>
      </c>
      <c r="G35" s="98">
        <f t="shared" si="1"/>
        <v>4.4923076923076923</v>
      </c>
      <c r="H35" s="2131"/>
      <c r="I35" s="2133"/>
      <c r="J35" s="434"/>
      <c r="K35" s="434"/>
      <c r="L35" s="434"/>
      <c r="M35" s="548"/>
      <c r="N35" s="434"/>
      <c r="O35" s="983"/>
      <c r="P35" s="983"/>
      <c r="Q35" s="983"/>
      <c r="R35" s="983"/>
      <c r="S35" s="983"/>
      <c r="T35" s="983"/>
      <c r="U35" s="983"/>
      <c r="V35" s="3"/>
      <c r="W35" s="3"/>
      <c r="X35" s="3"/>
      <c r="Y35" s="3"/>
    </row>
    <row r="36" spans="1:25" ht="18" customHeight="1" x14ac:dyDescent="0.25">
      <c r="A36" s="85"/>
      <c r="B36" s="434"/>
      <c r="C36" s="539" t="s">
        <v>37</v>
      </c>
      <c r="D36" s="981">
        <v>4</v>
      </c>
      <c r="E36" s="501">
        <f t="shared" si="0"/>
        <v>4</v>
      </c>
      <c r="F36" s="95">
        <v>4</v>
      </c>
      <c r="G36" s="98">
        <f t="shared" si="1"/>
        <v>18.717948717948719</v>
      </c>
      <c r="H36" s="2131"/>
      <c r="I36" s="2133"/>
      <c r="J36" s="434"/>
      <c r="K36" s="434"/>
      <c r="L36" s="434"/>
      <c r="M36" s="434"/>
      <c r="N36" s="434"/>
      <c r="O36" s="983"/>
      <c r="P36" s="983"/>
      <c r="Q36" s="983"/>
      <c r="R36" s="983"/>
      <c r="S36" s="983"/>
      <c r="T36" s="983"/>
      <c r="U36" s="983"/>
      <c r="V36" s="3"/>
      <c r="W36" s="3"/>
      <c r="X36" s="3"/>
      <c r="Y36" s="3"/>
    </row>
    <row r="37" spans="1:25" ht="18" customHeight="1" x14ac:dyDescent="0.25">
      <c r="A37" s="85"/>
      <c r="B37" s="434"/>
      <c r="C37" s="539" t="s">
        <v>38</v>
      </c>
      <c r="D37" s="981">
        <v>0.73</v>
      </c>
      <c r="E37" s="501">
        <f t="shared" si="0"/>
        <v>0.73</v>
      </c>
      <c r="F37" s="95">
        <v>4.7</v>
      </c>
      <c r="G37" s="98">
        <f t="shared" si="1"/>
        <v>3.4160256410256409</v>
      </c>
      <c r="H37" s="2131"/>
      <c r="I37" s="2133"/>
      <c r="J37" s="434"/>
      <c r="K37" s="434"/>
      <c r="L37" s="434"/>
      <c r="M37" s="434"/>
      <c r="N37" s="434"/>
      <c r="O37" s="983"/>
      <c r="P37" s="983"/>
      <c r="Q37" s="983"/>
      <c r="R37" s="983"/>
      <c r="S37" s="983"/>
      <c r="T37" s="983"/>
      <c r="U37" s="983"/>
      <c r="V37" s="3"/>
      <c r="W37" s="3"/>
      <c r="X37" s="3"/>
      <c r="Y37" s="3"/>
    </row>
    <row r="38" spans="1:25" ht="18" customHeight="1" x14ac:dyDescent="0.25">
      <c r="A38" s="85"/>
      <c r="B38" s="434"/>
      <c r="C38" s="539" t="s">
        <v>39</v>
      </c>
      <c r="D38" s="981">
        <v>0</v>
      </c>
      <c r="E38" s="501">
        <f t="shared" si="0"/>
        <v>0</v>
      </c>
      <c r="F38" s="95">
        <v>0</v>
      </c>
      <c r="G38" s="98">
        <f t="shared" si="1"/>
        <v>0</v>
      </c>
      <c r="H38" s="2130">
        <f>SUM(E38:E39)</f>
        <v>6.5600000000000023</v>
      </c>
      <c r="I38" s="2137" t="s">
        <v>40</v>
      </c>
      <c r="J38" s="434"/>
      <c r="K38" s="434"/>
      <c r="L38" s="434"/>
      <c r="M38" s="434"/>
      <c r="N38" s="434"/>
      <c r="O38" s="983"/>
      <c r="P38" s="983"/>
      <c r="Q38" s="983"/>
      <c r="R38" s="983"/>
      <c r="S38" s="983"/>
      <c r="T38" s="983"/>
      <c r="U38" s="983"/>
      <c r="V38" s="3"/>
      <c r="W38" s="3"/>
      <c r="X38" s="3"/>
      <c r="Y38" s="3"/>
    </row>
    <row r="39" spans="1:25" ht="18" customHeight="1" x14ac:dyDescent="0.25">
      <c r="A39" s="85"/>
      <c r="B39" s="434"/>
      <c r="C39" s="539" t="s">
        <v>41</v>
      </c>
      <c r="D39" s="981">
        <f>100-(SUM(D26:D38))</f>
        <v>6.5600000000000023</v>
      </c>
      <c r="E39" s="501">
        <f t="shared" si="0"/>
        <v>6.5600000000000023</v>
      </c>
      <c r="F39" s="95">
        <v>4.7</v>
      </c>
      <c r="G39" s="98">
        <f t="shared" si="1"/>
        <v>30.697435897435909</v>
      </c>
      <c r="H39" s="2131"/>
      <c r="I39" s="2133"/>
      <c r="J39" s="434"/>
      <c r="K39" s="434"/>
      <c r="L39" s="434"/>
      <c r="M39" s="434"/>
      <c r="N39" s="434"/>
      <c r="O39" s="983"/>
      <c r="P39" s="983"/>
      <c r="Q39" s="983"/>
      <c r="R39" s="983"/>
      <c r="S39" s="983"/>
      <c r="T39" s="983"/>
      <c r="U39" s="983"/>
      <c r="V39" s="3"/>
      <c r="W39" s="3"/>
      <c r="X39" s="3"/>
      <c r="Y39" s="3"/>
    </row>
    <row r="40" spans="1:25" ht="17.649999999999999" customHeight="1" x14ac:dyDescent="0.25">
      <c r="A40" s="85"/>
      <c r="B40" s="434"/>
      <c r="C40" s="540" t="s">
        <v>42</v>
      </c>
      <c r="D40" s="96">
        <f>SUM(D26:D39)</f>
        <v>100</v>
      </c>
      <c r="E40" s="96">
        <f>SUM(E26:E39)</f>
        <v>100</v>
      </c>
      <c r="F40" s="96">
        <f>SUM(F26:F39)</f>
        <v>100</v>
      </c>
      <c r="G40" s="97">
        <f>SUM(G26:G39)</f>
        <v>467.94871794871807</v>
      </c>
      <c r="H40" s="99">
        <f>SUM(H26:H39)</f>
        <v>100</v>
      </c>
      <c r="I40" s="92"/>
      <c r="J40" s="434"/>
      <c r="K40" s="434"/>
      <c r="L40" s="434"/>
      <c r="M40" s="434"/>
      <c r="N40" s="434"/>
      <c r="O40" s="983"/>
      <c r="P40" s="983"/>
      <c r="Q40" s="983"/>
      <c r="R40" s="983"/>
      <c r="S40" s="983"/>
      <c r="T40" s="983"/>
      <c r="U40" s="983"/>
      <c r="V40" s="3"/>
      <c r="W40" s="3"/>
      <c r="X40" s="3"/>
      <c r="Y40" s="3"/>
    </row>
    <row r="41" spans="1:25" ht="25.15" customHeight="1" x14ac:dyDescent="0.25">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 customHeight="1" x14ac:dyDescent="0.25">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25">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899999999999999" customHeight="1" x14ac:dyDescent="0.25">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899999999999999" customHeight="1" x14ac:dyDescent="0.25">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899999999999999" customHeight="1" x14ac:dyDescent="0.25">
      <c r="A46" s="85"/>
      <c r="B46" s="434"/>
      <c r="C46" s="233" t="s">
        <v>47</v>
      </c>
      <c r="D46" s="501">
        <f>100-(D44+D45)</f>
        <v>100</v>
      </c>
      <c r="E46" s="551">
        <f>E14*D46/100</f>
        <v>467.94871794871796</v>
      </c>
      <c r="F46" s="434"/>
      <c r="G46" s="434"/>
      <c r="H46" s="434"/>
      <c r="I46" s="434"/>
      <c r="J46" s="434"/>
      <c r="K46" s="434"/>
      <c r="L46" s="532"/>
      <c r="M46" s="434"/>
      <c r="N46" s="434"/>
      <c r="O46" s="983"/>
      <c r="P46" s="983"/>
      <c r="Q46" s="983"/>
      <c r="R46" s="983"/>
      <c r="S46" s="983"/>
      <c r="T46" s="983"/>
      <c r="U46" s="983"/>
      <c r="V46" s="3"/>
      <c r="W46" s="3"/>
      <c r="X46" s="3"/>
      <c r="Y46" s="3"/>
    </row>
    <row r="47" spans="1:25" ht="16.899999999999999" customHeight="1" x14ac:dyDescent="0.25">
      <c r="A47" s="85"/>
      <c r="B47" s="434"/>
      <c r="C47" s="233" t="s">
        <v>506</v>
      </c>
      <c r="D47" s="94">
        <f>SUM(D44:D46)</f>
        <v>100</v>
      </c>
      <c r="E47" s="551">
        <f>SUM(E44:E46)</f>
        <v>467.94871794871796</v>
      </c>
      <c r="F47" s="434"/>
      <c r="G47" s="434"/>
      <c r="H47" s="434"/>
      <c r="I47" s="434"/>
      <c r="J47" s="434"/>
      <c r="K47" s="434"/>
      <c r="L47" s="532"/>
      <c r="M47" s="434"/>
      <c r="N47" s="434"/>
      <c r="O47" s="983"/>
      <c r="P47" s="983"/>
      <c r="Q47" s="983"/>
      <c r="R47" s="983"/>
      <c r="S47" s="983"/>
      <c r="T47" s="983"/>
      <c r="U47" s="983"/>
      <c r="V47" s="3"/>
      <c r="W47" s="3"/>
      <c r="X47" s="3"/>
      <c r="Y47" s="3"/>
    </row>
    <row r="48" spans="1:25" ht="25.15" customHeight="1" x14ac:dyDescent="0.25">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15" customHeight="1" x14ac:dyDescent="0.25">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25">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25">
      <c r="A51" s="85"/>
      <c r="B51" s="434"/>
      <c r="C51" s="2141" t="s">
        <v>48</v>
      </c>
      <c r="D51" s="2139" t="s">
        <v>508</v>
      </c>
      <c r="E51" s="2140"/>
      <c r="F51" s="2140"/>
      <c r="G51" s="2140"/>
      <c r="H51" s="2140"/>
      <c r="I51" s="2140"/>
      <c r="J51" s="2140"/>
      <c r="K51" s="2140"/>
      <c r="L51" s="2140"/>
      <c r="M51" s="2140"/>
      <c r="N51" s="2140"/>
      <c r="O51" s="983"/>
      <c r="P51" s="983"/>
      <c r="Q51" s="983"/>
      <c r="R51" s="983"/>
      <c r="S51" s="983"/>
      <c r="T51" s="983"/>
      <c r="U51" s="983"/>
      <c r="V51" s="3"/>
      <c r="W51" s="3"/>
      <c r="X51" s="3"/>
      <c r="Y51" s="3"/>
    </row>
    <row r="52" spans="1:25" ht="18" customHeight="1" x14ac:dyDescent="0.25">
      <c r="A52" s="85"/>
      <c r="B52" s="434"/>
      <c r="C52" s="2128"/>
      <c r="D52" s="2127" t="s">
        <v>25</v>
      </c>
      <c r="E52" s="2128"/>
      <c r="F52" s="2142" t="s">
        <v>49</v>
      </c>
      <c r="G52" s="2127" t="s">
        <v>475</v>
      </c>
      <c r="H52" s="2128"/>
      <c r="I52" s="2127" t="s">
        <v>476</v>
      </c>
      <c r="J52" s="2127" t="s">
        <v>52</v>
      </c>
      <c r="K52" s="2128"/>
      <c r="L52" s="2127" t="s">
        <v>477</v>
      </c>
      <c r="M52" s="2138"/>
      <c r="N52" s="2136" t="s">
        <v>53</v>
      </c>
      <c r="O52" s="983"/>
      <c r="P52" s="983"/>
      <c r="Q52" s="983"/>
      <c r="R52" s="983"/>
      <c r="S52" s="983"/>
      <c r="T52" s="983"/>
      <c r="U52" s="983"/>
      <c r="V52" s="3"/>
      <c r="W52" s="3"/>
      <c r="X52" s="3"/>
      <c r="Y52" s="3"/>
    </row>
    <row r="53" spans="1:25" ht="31.15" customHeight="1" x14ac:dyDescent="0.25">
      <c r="A53" s="85"/>
      <c r="B53" s="434"/>
      <c r="C53" s="2128"/>
      <c r="D53" s="499" t="s">
        <v>54</v>
      </c>
      <c r="E53" s="499" t="s">
        <v>55</v>
      </c>
      <c r="F53" s="2128"/>
      <c r="G53" s="499" t="s">
        <v>56</v>
      </c>
      <c r="H53" s="499" t="s">
        <v>57</v>
      </c>
      <c r="I53" s="2128"/>
      <c r="J53" s="499" t="s">
        <v>58</v>
      </c>
      <c r="K53" s="499" t="s">
        <v>510</v>
      </c>
      <c r="L53" s="499" t="s">
        <v>478</v>
      </c>
      <c r="M53" s="500" t="s">
        <v>509</v>
      </c>
      <c r="N53" s="2128"/>
      <c r="O53" s="983"/>
      <c r="P53" s="983"/>
      <c r="Q53" s="983"/>
      <c r="R53" s="983"/>
      <c r="S53" s="983"/>
      <c r="T53" s="983"/>
      <c r="U53" s="983"/>
      <c r="V53" s="3"/>
      <c r="W53" s="3"/>
      <c r="X53" s="3"/>
      <c r="Y53" s="3"/>
    </row>
    <row r="54" spans="1:25" ht="18" customHeight="1" x14ac:dyDescent="0.25">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25">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25">
      <c r="A56" s="85"/>
      <c r="B56" s="434"/>
      <c r="C56" s="233" t="s">
        <v>474</v>
      </c>
      <c r="D56" s="104">
        <f>G26-D55</f>
        <v>226.4871794871795</v>
      </c>
      <c r="E56" s="104">
        <f>G27-E55</f>
        <v>14.038461538461538</v>
      </c>
      <c r="F56" s="104">
        <f>G28-F54</f>
        <v>61.301282051282051</v>
      </c>
      <c r="G56" s="104">
        <f>G29-G54</f>
        <v>41.647435897435898</v>
      </c>
      <c r="H56" s="104">
        <f>G30-H54</f>
        <v>21.525641025641026</v>
      </c>
      <c r="I56" s="104">
        <f>G31-I54</f>
        <v>11.230769230769232</v>
      </c>
      <c r="J56" s="104">
        <f>G32-J54</f>
        <v>10.762820512820513</v>
      </c>
      <c r="K56" s="104">
        <f>G33-K54</f>
        <v>2.8076923076923079</v>
      </c>
      <c r="L56" s="104">
        <f>SUM(G34:G37)</f>
        <v>47.45</v>
      </c>
      <c r="M56" s="104">
        <f>SUM(G38:G39)</f>
        <v>30.697435897435909</v>
      </c>
      <c r="N56" s="104">
        <f>SUM(D56:M56)</f>
        <v>467.94871794871801</v>
      </c>
      <c r="O56" s="983"/>
      <c r="P56" s="983"/>
      <c r="Q56" s="983"/>
      <c r="R56" s="983"/>
      <c r="S56" s="983"/>
      <c r="T56" s="983"/>
      <c r="U56" s="983"/>
      <c r="V56" s="3"/>
      <c r="W56" s="3"/>
      <c r="X56" s="3"/>
      <c r="Y56" s="3"/>
    </row>
    <row r="57" spans="1:25" ht="18" customHeight="1" x14ac:dyDescent="0.25">
      <c r="A57" s="85"/>
      <c r="B57" s="434"/>
      <c r="C57" s="233" t="s">
        <v>53</v>
      </c>
      <c r="D57" s="104">
        <f>SUM(D55:D56)</f>
        <v>226.4871794871795</v>
      </c>
      <c r="E57" s="104">
        <f>SUM(E55:E56)</f>
        <v>14.038461538461538</v>
      </c>
      <c r="F57" s="104">
        <f t="shared" ref="F57:L57" si="2">SUM(F54:F56)</f>
        <v>61.301282051282051</v>
      </c>
      <c r="G57" s="104">
        <f t="shared" si="2"/>
        <v>41.647435897435898</v>
      </c>
      <c r="H57" s="104">
        <f t="shared" si="2"/>
        <v>21.525641025641026</v>
      </c>
      <c r="I57" s="104">
        <f t="shared" si="2"/>
        <v>11.230769230769232</v>
      </c>
      <c r="J57" s="104">
        <f t="shared" si="2"/>
        <v>10.762820512820513</v>
      </c>
      <c r="K57" s="104">
        <f t="shared" si="2"/>
        <v>2.8076923076923079</v>
      </c>
      <c r="L57" s="104">
        <f t="shared" si="2"/>
        <v>47.45</v>
      </c>
      <c r="M57" s="104">
        <f>M56</f>
        <v>30.697435897435909</v>
      </c>
      <c r="N57" s="104">
        <f>SUM(N54:N56)</f>
        <v>467.94871794871801</v>
      </c>
      <c r="O57" s="983"/>
      <c r="P57" s="983"/>
      <c r="Q57" s="983"/>
      <c r="R57" s="983"/>
      <c r="S57" s="983"/>
      <c r="T57" s="983"/>
      <c r="U57" s="983"/>
      <c r="V57" s="3"/>
      <c r="W57" s="3"/>
      <c r="X57" s="3"/>
      <c r="Y57" s="3"/>
    </row>
    <row r="58" spans="1:25" ht="12.75" customHeight="1" x14ac:dyDescent="0.25">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25">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25">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25">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25">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25">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25">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25">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25">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25">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25">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25">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25">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25">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25">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25">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25">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25">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25">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25">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25">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25">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25">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25">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25">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25">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25">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25">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25">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25">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25">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25">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25">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25">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25">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25">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25">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25">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25">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25">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25">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25">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25">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25">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25">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25">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25">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25">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25">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25">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25">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25">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25">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25">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25">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25">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25">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25">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25">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25">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25">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25">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25">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25">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25">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61" sqref="J61"/>
    </sheetView>
  </sheetViews>
  <sheetFormatPr defaultColWidth="14.42578125" defaultRowHeight="15" customHeight="1" x14ac:dyDescent="0.25"/>
  <cols>
    <col min="1" max="1" width="0.7109375" customWidth="1"/>
    <col min="2" max="2" width="2.85546875" style="84" customWidth="1"/>
    <col min="3" max="3" width="26.85546875" style="84" customWidth="1"/>
    <col min="4" max="4" width="15.42578125" style="84" customWidth="1"/>
    <col min="5" max="5" width="14.42578125" style="84" customWidth="1"/>
    <col min="6" max="8" width="13.42578125" style="84" customWidth="1"/>
    <col min="9" max="9" width="15.7109375" style="84" customWidth="1"/>
    <col min="10" max="10" width="14.42578125" style="84" customWidth="1"/>
    <col min="11" max="11" width="20.7109375" style="84" customWidth="1"/>
    <col min="12" max="12" width="14.42578125" style="84" customWidth="1"/>
    <col min="13" max="13" width="15.42578125" style="84" customWidth="1"/>
    <col min="14" max="14" width="16.7109375" style="84" customWidth="1"/>
    <col min="15" max="15" width="15.42578125" style="84" customWidth="1"/>
    <col min="16" max="16" width="3.42578125" style="84"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25">
      <c r="A2" s="570"/>
      <c r="B2" s="434"/>
      <c r="C2" s="531" t="s">
        <v>485</v>
      </c>
      <c r="D2" s="2143" t="str">
        <f>IF('R-Entrada'!D2&lt;&gt;0,'R-Entrada'!D2,"")</f>
        <v>CIRSOP - Consórcio RSU Oeste Paulista</v>
      </c>
      <c r="E2" s="2144"/>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25">
      <c r="A3" s="570"/>
      <c r="B3" s="434"/>
      <c r="C3" s="531" t="s">
        <v>486</v>
      </c>
      <c r="D3" s="2143" t="str">
        <f>IF('R-Entrada'!D3&lt;&gt;0,'R-Entrada'!D3,"")</f>
        <v>Biodigestão c/ Prod. E. Elétrica</v>
      </c>
      <c r="E3" s="2144"/>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25">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25">
      <c r="A5" s="570"/>
      <c r="B5" s="434"/>
      <c r="C5" s="434"/>
      <c r="D5" s="434"/>
      <c r="E5" s="434"/>
      <c r="F5" s="2114" t="s">
        <v>737</v>
      </c>
      <c r="G5" s="2160"/>
      <c r="H5" s="2161"/>
      <c r="I5" s="434"/>
      <c r="J5" s="132"/>
      <c r="K5" s="584" t="s">
        <v>725</v>
      </c>
      <c r="L5" s="434"/>
      <c r="M5" s="434"/>
      <c r="N5" s="2124" t="s">
        <v>473</v>
      </c>
      <c r="O5" s="2169"/>
      <c r="P5" s="2169"/>
      <c r="Q5" s="544"/>
      <c r="R5" s="544"/>
      <c r="S5" s="544"/>
      <c r="T5" s="544"/>
      <c r="U5" s="544"/>
      <c r="V5" s="544"/>
      <c r="W5" s="544"/>
      <c r="X5" s="544"/>
      <c r="Y5" s="544"/>
      <c r="Z5" s="544"/>
      <c r="AA5" s="3"/>
      <c r="AB5" s="3"/>
      <c r="AC5" s="3"/>
      <c r="AD5" s="3"/>
      <c r="AE5" s="3"/>
      <c r="AF5" s="3"/>
      <c r="AG5" s="3"/>
      <c r="AH5" s="3"/>
      <c r="AI5" s="3"/>
    </row>
    <row r="6" spans="1:35" ht="18" customHeight="1" x14ac:dyDescent="0.25">
      <c r="A6" s="570"/>
      <c r="B6" s="434"/>
      <c r="C6" s="532"/>
      <c r="D6" s="532"/>
      <c r="E6" s="532"/>
      <c r="F6" s="2162"/>
      <c r="G6" s="2163"/>
      <c r="H6" s="2164"/>
      <c r="I6" s="532"/>
      <c r="J6" s="700"/>
      <c r="K6" s="584" t="s">
        <v>726</v>
      </c>
      <c r="L6" s="434"/>
      <c r="M6" s="434"/>
      <c r="N6" s="2126" t="str">
        <f>Apresentação!I2</f>
        <v>RC-RSU V.1.0 - 15/10/2020</v>
      </c>
      <c r="O6" s="2126"/>
      <c r="P6" s="2126"/>
      <c r="Q6" s="544"/>
      <c r="R6" s="544"/>
      <c r="S6" s="544"/>
      <c r="T6" s="544"/>
      <c r="U6" s="544"/>
      <c r="V6" s="544"/>
      <c r="W6" s="544"/>
      <c r="X6" s="544"/>
      <c r="Y6" s="544"/>
      <c r="Z6" s="544"/>
      <c r="AA6" s="3"/>
      <c r="AB6" s="3"/>
      <c r="AC6" s="3"/>
      <c r="AD6" s="3"/>
      <c r="AE6" s="3"/>
      <c r="AF6" s="3"/>
      <c r="AG6" s="3"/>
      <c r="AH6" s="3"/>
      <c r="AI6" s="3"/>
    </row>
    <row r="7" spans="1:35" ht="18" customHeight="1" x14ac:dyDescent="0.25">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25">
      <c r="A8" s="571"/>
      <c r="B8" s="2170" t="s">
        <v>511</v>
      </c>
      <c r="C8" s="2170"/>
      <c r="D8" s="2170"/>
      <c r="E8" s="2170"/>
      <c r="F8" s="2170"/>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25">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 customHeight="1" x14ac:dyDescent="0.25">
      <c r="A10" s="570"/>
      <c r="B10" s="434"/>
      <c r="C10" s="2129" t="s">
        <v>48</v>
      </c>
      <c r="D10" s="2123" t="s">
        <v>508</v>
      </c>
      <c r="E10" s="2121"/>
      <c r="F10" s="2121"/>
      <c r="G10" s="2121"/>
      <c r="H10" s="2121"/>
      <c r="I10" s="2121"/>
      <c r="J10" s="2121"/>
      <c r="K10" s="2121"/>
      <c r="L10" s="2121"/>
      <c r="M10" s="2121"/>
      <c r="N10" s="2121"/>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25">
      <c r="A11" s="570"/>
      <c r="B11" s="434"/>
      <c r="C11" s="2121"/>
      <c r="D11" s="2123" t="s">
        <v>25</v>
      </c>
      <c r="E11" s="2121"/>
      <c r="F11" s="2129" t="s">
        <v>49</v>
      </c>
      <c r="G11" s="2123" t="s">
        <v>475</v>
      </c>
      <c r="H11" s="2121"/>
      <c r="I11" s="2123" t="s">
        <v>476</v>
      </c>
      <c r="J11" s="2123" t="s">
        <v>52</v>
      </c>
      <c r="K11" s="2121"/>
      <c r="L11" s="2123" t="s">
        <v>477</v>
      </c>
      <c r="M11" s="2121"/>
      <c r="N11" s="2159" t="s">
        <v>53</v>
      </c>
      <c r="O11" s="434"/>
      <c r="P11" s="434"/>
      <c r="Q11" s="544"/>
      <c r="R11" s="544"/>
      <c r="S11" s="544"/>
      <c r="T11" s="544"/>
      <c r="U11" s="544"/>
      <c r="V11" s="544"/>
      <c r="W11" s="544"/>
      <c r="X11" s="544"/>
      <c r="Y11" s="544"/>
      <c r="Z11" s="544"/>
      <c r="AA11" s="3"/>
      <c r="AB11" s="3"/>
      <c r="AC11" s="3"/>
      <c r="AD11" s="3"/>
      <c r="AE11" s="3"/>
      <c r="AF11" s="3"/>
      <c r="AG11" s="3"/>
      <c r="AH11" s="3"/>
      <c r="AI11" s="3"/>
    </row>
    <row r="12" spans="1:35" ht="31.15" customHeight="1" x14ac:dyDescent="0.25">
      <c r="A12" s="570"/>
      <c r="B12" s="434"/>
      <c r="C12" s="2121"/>
      <c r="D12" s="503" t="s">
        <v>54</v>
      </c>
      <c r="E12" s="503" t="s">
        <v>55</v>
      </c>
      <c r="F12" s="2121"/>
      <c r="G12" s="503" t="s">
        <v>56</v>
      </c>
      <c r="H12" s="503" t="s">
        <v>57</v>
      </c>
      <c r="I12" s="2121"/>
      <c r="J12" s="503" t="s">
        <v>58</v>
      </c>
      <c r="K12" s="503" t="s">
        <v>510</v>
      </c>
      <c r="L12" s="503" t="s">
        <v>478</v>
      </c>
      <c r="M12" s="497" t="s">
        <v>509</v>
      </c>
      <c r="N12" s="2121"/>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25">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25">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25">
      <c r="A15" s="572"/>
      <c r="B15" s="529"/>
      <c r="C15" s="507" t="s">
        <v>474</v>
      </c>
      <c r="D15" s="122">
        <f>'R-Entrada'!D56</f>
        <v>226.4871794871795</v>
      </c>
      <c r="E15" s="122">
        <f>'R-Entrada'!E56</f>
        <v>14.038461538461538</v>
      </c>
      <c r="F15" s="122">
        <f>'R-Entrada'!F56</f>
        <v>61.301282051282051</v>
      </c>
      <c r="G15" s="122">
        <f>'R-Entrada'!G56</f>
        <v>41.647435897435898</v>
      </c>
      <c r="H15" s="122">
        <f>'R-Entrada'!H56</f>
        <v>21.525641025641026</v>
      </c>
      <c r="I15" s="122">
        <f>'R-Entrada'!I56</f>
        <v>11.230769230769232</v>
      </c>
      <c r="J15" s="122">
        <f>'R-Entrada'!J56</f>
        <v>10.762820512820513</v>
      </c>
      <c r="K15" s="122">
        <f>'R-Entrada'!K56</f>
        <v>2.8076923076923079</v>
      </c>
      <c r="L15" s="122">
        <f>'R-Entrada'!L56</f>
        <v>47.45</v>
      </c>
      <c r="M15" s="122">
        <f>'R-Entrada'!M56</f>
        <v>30.697435897435909</v>
      </c>
      <c r="N15" s="98">
        <f>SUM(D15:M15)</f>
        <v>467.94871794871801</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25">
      <c r="A16" s="572"/>
      <c r="B16" s="529"/>
      <c r="C16" s="252" t="s">
        <v>53</v>
      </c>
      <c r="D16" s="154">
        <f>SUM(D14:D15)</f>
        <v>226.4871794871795</v>
      </c>
      <c r="E16" s="154">
        <f>SUM(E14:E15)</f>
        <v>14.038461538461538</v>
      </c>
      <c r="F16" s="154">
        <f t="shared" ref="F16:L16" si="0">SUM(F13:F15)</f>
        <v>61.301282051282051</v>
      </c>
      <c r="G16" s="154">
        <f t="shared" si="0"/>
        <v>41.647435897435898</v>
      </c>
      <c r="H16" s="154">
        <f t="shared" si="0"/>
        <v>21.525641025641026</v>
      </c>
      <c r="I16" s="154">
        <f t="shared" si="0"/>
        <v>11.230769230769232</v>
      </c>
      <c r="J16" s="154">
        <f t="shared" si="0"/>
        <v>10.762820512820513</v>
      </c>
      <c r="K16" s="154">
        <f t="shared" si="0"/>
        <v>2.8076923076923079</v>
      </c>
      <c r="L16" s="154">
        <f t="shared" si="0"/>
        <v>47.45</v>
      </c>
      <c r="M16" s="154">
        <f>M15</f>
        <v>30.697435897435909</v>
      </c>
      <c r="N16" s="98">
        <f>SUM(N13:N15)</f>
        <v>467.94871794871801</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25">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25">
      <c r="A18" s="572"/>
      <c r="B18" s="529"/>
      <c r="C18" s="529"/>
      <c r="D18" s="529"/>
      <c r="E18" s="529"/>
      <c r="F18" s="529"/>
      <c r="G18" s="529"/>
      <c r="H18" s="563" t="s">
        <v>67</v>
      </c>
      <c r="I18" s="157">
        <f>IF(N15=0,0,SUM(F15:K15)/N15*100)</f>
        <v>31.900000000000002</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 customHeight="1" x14ac:dyDescent="0.25">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25">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399999999999999" customHeight="1" x14ac:dyDescent="0.25">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399999999999999" customHeight="1" x14ac:dyDescent="0.25">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15" customHeight="1" x14ac:dyDescent="0.25">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25">
      <c r="A24" s="572"/>
      <c r="B24" s="530"/>
      <c r="C24" s="633"/>
      <c r="D24" s="565" t="s">
        <v>72</v>
      </c>
      <c r="E24" s="98">
        <f>N13</f>
        <v>0</v>
      </c>
      <c r="F24" s="591"/>
      <c r="G24" s="640"/>
      <c r="H24" s="593" t="s">
        <v>88</v>
      </c>
      <c r="I24" s="963" t="s">
        <v>6</v>
      </c>
      <c r="J24" s="591"/>
      <c r="K24" s="625" t="s">
        <v>74</v>
      </c>
      <c r="L24" s="114">
        <f t="shared" ref="L24:L29" si="1">SUM(M24:O24)</f>
        <v>15.325320512820513</v>
      </c>
      <c r="M24" s="115">
        <f>IF($E$28="Sim",F$13*'R-Avançado'!$H$11/100*$E$29/$N$13,0)</f>
        <v>0</v>
      </c>
      <c r="N24" s="115">
        <f>IF($E$32="Sim",F$13*'R-Avançado'!$G$11/100*$E$33/$N$13,0)</f>
        <v>0</v>
      </c>
      <c r="O24" s="628">
        <f>IF(AND($I$25&gt;0,$I$24="Sim"),$I$27/$N$15*F$15*'R-Avançado'!$F$11/100,0)</f>
        <v>15.325320512820513</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25">
      <c r="A25" s="572"/>
      <c r="B25" s="530"/>
      <c r="C25" s="633"/>
      <c r="D25" s="565" t="s">
        <v>75</v>
      </c>
      <c r="E25" s="732">
        <v>0</v>
      </c>
      <c r="F25" s="591"/>
      <c r="G25" s="640"/>
      <c r="H25" s="594" t="s">
        <v>72</v>
      </c>
      <c r="I25" s="957">
        <f>IF(I24="Sim",N15,0)</f>
        <v>467.94871794871801</v>
      </c>
      <c r="J25" s="591"/>
      <c r="K25" s="625" t="s">
        <v>29</v>
      </c>
      <c r="L25" s="114">
        <f t="shared" si="1"/>
        <v>10.411858974358974</v>
      </c>
      <c r="M25" s="115">
        <f>IF($E$28="Sim",G$13*'R-Avançado'!$H$11/100*$E$29/$N$13,0)</f>
        <v>0</v>
      </c>
      <c r="N25" s="115">
        <f>IF($E$32="Sim",G$13*'R-Avançado'!$G$11/100*$E$33/$N$13,0)</f>
        <v>0</v>
      </c>
      <c r="O25" s="628">
        <f>IF(AND($I$25&gt;0,$I$24="Sim"),$I$27/$N$15*G$15*'R-Avançado'!$F$11/100,0)</f>
        <v>10.411858974358974</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25">
      <c r="A26" s="570"/>
      <c r="B26" s="530"/>
      <c r="C26" s="633"/>
      <c r="D26" s="565" t="s">
        <v>76</v>
      </c>
      <c r="E26" s="560">
        <f>IF(N13&lt;&gt;0,100-E25,0)</f>
        <v>0</v>
      </c>
      <c r="F26" s="530"/>
      <c r="G26" s="640"/>
      <c r="H26" s="594" t="s">
        <v>77</v>
      </c>
      <c r="I26" s="958">
        <v>100</v>
      </c>
      <c r="J26" s="2166" t="str">
        <f>IF(AND(I24="Sim",I27&lt;&gt;0,I27&lt;50),"Mín. é 50 t/d. Rever Célula I26","")</f>
        <v/>
      </c>
      <c r="K26" s="625" t="s">
        <v>78</v>
      </c>
      <c r="L26" s="114">
        <f t="shared" si="1"/>
        <v>5.3814102564102564</v>
      </c>
      <c r="M26" s="115">
        <f>IF($E$28="Sim",H$13*'R-Avançado'!$H$11/100*$E$29/$N$13,0)</f>
        <v>0</v>
      </c>
      <c r="N26" s="115">
        <f>IF($E$32="Sim",H$13*'R-Avançado'!$G$11/100*$E$33/$N$13,0)</f>
        <v>0</v>
      </c>
      <c r="O26" s="628">
        <f>IF(AND($I$25&gt;0,$I$24="Sim"),$I$27/$N$15*H$15*'R-Avançado'!$F$11/100,0)</f>
        <v>5.3814102564102564</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25">
      <c r="A27" s="570"/>
      <c r="B27" s="530"/>
      <c r="C27" s="598"/>
      <c r="D27" s="599"/>
      <c r="E27" s="639"/>
      <c r="F27" s="530"/>
      <c r="G27" s="640"/>
      <c r="H27" s="594" t="s">
        <v>79</v>
      </c>
      <c r="I27" s="957">
        <f>I25*I26/100</f>
        <v>467.94871794871801</v>
      </c>
      <c r="J27" s="2167"/>
      <c r="K27" s="625" t="s">
        <v>31</v>
      </c>
      <c r="L27" s="114">
        <f t="shared" si="1"/>
        <v>2.8076923076923079</v>
      </c>
      <c r="M27" s="115">
        <f>IF($E$28="Sim",I$13*'R-Avançado'!$H$11/100*$E$29/$N$13,0)</f>
        <v>0</v>
      </c>
      <c r="N27" s="115">
        <f>IF($E$32="Sim",I$13*'R-Avançado'!$G$11/100*$E$33/$N$13,0)</f>
        <v>0</v>
      </c>
      <c r="O27" s="628">
        <f>IF(AND($I$25&gt;0,$I$24="Sim"),$I$27/$N$15*I$15*'R-Avançado'!$F$11/100,0)</f>
        <v>2.8076923076923079</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25">
      <c r="A28" s="570"/>
      <c r="B28" s="529"/>
      <c r="C28" s="631"/>
      <c r="D28" s="593" t="s">
        <v>92</v>
      </c>
      <c r="E28" s="635" t="str">
        <f>IF(AND(E24&gt;0,E25&gt;0),"Sim","Não")</f>
        <v>Não</v>
      </c>
      <c r="F28" s="2166" t="str">
        <f>IF(E29&gt;100,"Máx. é 100 t/d. Rever Célula E25","")</f>
        <v/>
      </c>
      <c r="G28" s="640"/>
      <c r="H28" s="594" t="s">
        <v>81</v>
      </c>
      <c r="I28" s="959" t="s">
        <v>62</v>
      </c>
      <c r="J28" s="530"/>
      <c r="K28" s="625" t="s">
        <v>32</v>
      </c>
      <c r="L28" s="114">
        <f t="shared" si="1"/>
        <v>2.6907051282051282</v>
      </c>
      <c r="M28" s="115">
        <f>IF($E$28="Sim",J$13*'R-Avançado'!$H$11/100*$E$29/$N$13,0)</f>
        <v>0</v>
      </c>
      <c r="N28" s="115">
        <f>IF($E$32="Sim",J$13*'R-Avançado'!$G$11/100*$E$33/$N$13,0)</f>
        <v>0</v>
      </c>
      <c r="O28" s="628">
        <f>IF(AND($I$25&gt;0,$I$24="Sim"),$I$27/$N$15*J$15*'R-Avançado'!$F$11/100,0)</f>
        <v>2.6907051282051282</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25">
      <c r="A29" s="570"/>
      <c r="B29" s="529"/>
      <c r="C29" s="632"/>
      <c r="D29" s="600" t="s">
        <v>82</v>
      </c>
      <c r="E29" s="98">
        <f>E24*E25/100</f>
        <v>0</v>
      </c>
      <c r="F29" s="2167"/>
      <c r="G29" s="640"/>
      <c r="H29" s="594" t="s">
        <v>83</v>
      </c>
      <c r="I29" s="959" t="s">
        <v>61</v>
      </c>
      <c r="J29" s="530"/>
      <c r="K29" s="625" t="s">
        <v>84</v>
      </c>
      <c r="L29" s="114">
        <f t="shared" si="1"/>
        <v>0.70192307692307698</v>
      </c>
      <c r="M29" s="115">
        <f>IF($E$28="Sim",K$13*'R-Avançado'!$H$11/100*$E$29/$N$13,0)</f>
        <v>0</v>
      </c>
      <c r="N29" s="115">
        <f>IF($E$32="Sim",K$13*'R-Avançado'!$G$11/100*$E$33/$N$13,0)</f>
        <v>0</v>
      </c>
      <c r="O29" s="628">
        <f>IF(AND($I$25&gt;0,$I$24="Sim"),$I$27/$N$15*K$15*'R-Avançado'!$F$11/100,0)</f>
        <v>0.70192307692307698</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25">
      <c r="A30" s="570"/>
      <c r="B30" s="529"/>
      <c r="C30" s="633"/>
      <c r="D30" s="600" t="s">
        <v>81</v>
      </c>
      <c r="E30" s="970" t="s">
        <v>64</v>
      </c>
      <c r="F30" s="2167"/>
      <c r="G30" s="434"/>
      <c r="H30" s="434"/>
      <c r="I30" s="434"/>
      <c r="J30" s="602"/>
      <c r="K30" s="626" t="s">
        <v>513</v>
      </c>
      <c r="L30" s="116">
        <f>SUM(L24:L29)</f>
        <v>37.318910256410263</v>
      </c>
      <c r="M30" s="199">
        <f>SUM(M24:M29)</f>
        <v>0</v>
      </c>
      <c r="N30" s="199">
        <f>SUM(N24:N29)</f>
        <v>0</v>
      </c>
      <c r="O30" s="629">
        <f>SUM(O24:O29)</f>
        <v>37.318910256410263</v>
      </c>
      <c r="P30" s="434"/>
      <c r="Q30" s="544"/>
      <c r="R30" s="544"/>
      <c r="S30" s="544"/>
      <c r="T30" s="544"/>
      <c r="U30" s="544"/>
      <c r="V30" s="544"/>
      <c r="W30" s="544"/>
      <c r="X30" s="544"/>
      <c r="Y30" s="544"/>
      <c r="Z30" s="544"/>
      <c r="AA30" s="3"/>
      <c r="AB30" s="3"/>
      <c r="AC30" s="3"/>
      <c r="AD30" s="3"/>
      <c r="AE30" s="3"/>
      <c r="AF30" s="3"/>
      <c r="AG30" s="3"/>
      <c r="AH30" s="3"/>
      <c r="AI30" s="3"/>
    </row>
    <row r="31" spans="1:35" ht="17.649999999999999" customHeight="1" x14ac:dyDescent="0.25">
      <c r="A31" s="570"/>
      <c r="B31" s="85"/>
      <c r="C31" s="564"/>
      <c r="D31" s="565"/>
      <c r="E31" s="566"/>
      <c r="F31" s="592"/>
      <c r="G31" s="2147" t="s">
        <v>85</v>
      </c>
      <c r="H31" s="2148"/>
      <c r="I31" s="2149"/>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25">
      <c r="A32" s="570"/>
      <c r="B32" s="434"/>
      <c r="C32" s="631"/>
      <c r="D32" s="593" t="s">
        <v>93</v>
      </c>
      <c r="E32" s="635" t="str">
        <f>IF(AND(E24&gt;0,E26&gt;0),"Sim","Não")</f>
        <v>Não</v>
      </c>
      <c r="F32" s="2166" t="str">
        <f>IF(AND(E24&gt;0,E33&lt;50,E33&gt;0),"Mín. é 50 t/d. Rever Célula E25","")</f>
        <v/>
      </c>
      <c r="G32" s="631"/>
      <c r="H32" s="594" t="s">
        <v>92</v>
      </c>
      <c r="I32" s="732" t="s">
        <v>89</v>
      </c>
      <c r="J32" s="434"/>
      <c r="K32" s="233" t="s">
        <v>780</v>
      </c>
      <c r="L32" s="98">
        <f>O32+O33</f>
        <v>204.44679487179491</v>
      </c>
      <c r="M32" s="644"/>
      <c r="N32" s="987" t="s">
        <v>54</v>
      </c>
      <c r="O32" s="985">
        <f>IF(AND($I$25&gt;0,$I$24="Sim"),I27/N15*D15*'R-Avançado'!E11/100,0)</f>
        <v>192.51410256410259</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25">
      <c r="A33" s="570"/>
      <c r="B33" s="434"/>
      <c r="C33" s="632"/>
      <c r="D33" s="565" t="s">
        <v>91</v>
      </c>
      <c r="E33" s="98">
        <f>E24*E26/100</f>
        <v>0</v>
      </c>
      <c r="F33" s="2167"/>
      <c r="G33" s="631"/>
      <c r="H33" s="594" t="s">
        <v>93</v>
      </c>
      <c r="I33" s="732" t="s">
        <v>89</v>
      </c>
      <c r="J33" s="434"/>
      <c r="K33" s="233" t="s">
        <v>781</v>
      </c>
      <c r="L33" s="98">
        <f>'R-Entrada'!E45</f>
        <v>0</v>
      </c>
      <c r="M33" s="645"/>
      <c r="N33" s="987" t="s">
        <v>55</v>
      </c>
      <c r="O33" s="985">
        <f>IF(AND($I$25&gt;0,$I$24="Sim"),I27/N15*E15*'R-Avançado'!E11/100,0)</f>
        <v>11.932692307692307</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25">
      <c r="A34" s="570"/>
      <c r="B34" s="434"/>
      <c r="C34" s="633"/>
      <c r="D34" s="600" t="s">
        <v>81</v>
      </c>
      <c r="E34" s="970" t="s">
        <v>64</v>
      </c>
      <c r="F34" s="2167"/>
      <c r="G34" s="641"/>
      <c r="H34" s="594" t="s">
        <v>960</v>
      </c>
      <c r="I34" s="958" t="s">
        <v>89</v>
      </c>
      <c r="J34" s="434"/>
      <c r="K34" s="642" t="s">
        <v>818</v>
      </c>
      <c r="L34" s="98">
        <f>SUM(M34:O34)</f>
        <v>176.88461538461536</v>
      </c>
      <c r="M34" s="98">
        <f>IF(E28="Sim",E29*(1-'R-Avançado'!H11/100)*0.9,0)</f>
        <v>0</v>
      </c>
      <c r="N34" s="986">
        <f>IF(E32="Sim",E33*(1-'R-Avançado'!G11/100)*0.9,0)</f>
        <v>0</v>
      </c>
      <c r="O34" s="98">
        <f>D43+E43+F43+G43+H43+L43</f>
        <v>176.88461538461536</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25">
      <c r="A35" s="570"/>
      <c r="B35" s="434"/>
      <c r="C35" s="548"/>
      <c r="D35" s="434"/>
      <c r="E35" s="434"/>
      <c r="F35" s="434"/>
      <c r="G35" s="641"/>
      <c r="H35" s="594" t="s">
        <v>961</v>
      </c>
      <c r="I35" s="958" t="s">
        <v>89</v>
      </c>
      <c r="J35" s="434"/>
      <c r="K35" s="642" t="s">
        <v>829</v>
      </c>
      <c r="L35" s="98">
        <f>SUM(M35:O35)</f>
        <v>49.298397435897456</v>
      </c>
      <c r="M35" s="98">
        <f>IF(E28="Sim",E29*(1-'R-Avançado'!H11/100)*0.1,0)</f>
        <v>0</v>
      </c>
      <c r="N35" s="98">
        <f>IF(E32="Sim",E33*(1-'R-Avançado'!G11/100)*0.1,0)</f>
        <v>0</v>
      </c>
      <c r="O35" s="98">
        <f>M43+K43+J43+I43</f>
        <v>49.298397435897456</v>
      </c>
      <c r="P35" s="434"/>
      <c r="Q35" s="544"/>
      <c r="R35" s="544"/>
      <c r="S35" s="544"/>
      <c r="T35" s="544"/>
      <c r="U35" s="544"/>
      <c r="V35" s="544"/>
      <c r="W35" s="544"/>
      <c r="X35" s="544"/>
      <c r="Y35" s="544"/>
      <c r="Z35" s="544"/>
      <c r="AA35" s="3"/>
      <c r="AB35" s="3"/>
      <c r="AC35" s="3"/>
      <c r="AD35" s="3"/>
      <c r="AE35" s="3"/>
      <c r="AF35" s="3"/>
      <c r="AG35" s="3"/>
      <c r="AH35" s="3"/>
      <c r="AI35" s="3"/>
    </row>
    <row r="36" spans="1:35" ht="19.149999999999999" customHeight="1" x14ac:dyDescent="0.25">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1500000000000004" customHeight="1" x14ac:dyDescent="0.25">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25">
      <c r="A38" s="570"/>
      <c r="B38" s="434"/>
      <c r="C38" s="530"/>
      <c r="D38" s="2127" t="s">
        <v>514</v>
      </c>
      <c r="E38" s="2128"/>
      <c r="F38" s="2128"/>
      <c r="G38" s="2128"/>
      <c r="H38" s="2128"/>
      <c r="I38" s="2128"/>
      <c r="J38" s="2128"/>
      <c r="K38" s="2128"/>
      <c r="L38" s="2128"/>
      <c r="M38" s="2128"/>
      <c r="N38" s="2128"/>
      <c r="O38" s="434"/>
      <c r="P38" s="434"/>
      <c r="Q38" s="544"/>
      <c r="R38" s="544"/>
      <c r="S38" s="544" t="s">
        <v>94</v>
      </c>
      <c r="T38" s="544"/>
      <c r="U38" s="544"/>
      <c r="V38" s="544"/>
      <c r="W38" s="544"/>
      <c r="X38" s="544"/>
      <c r="Y38" s="544"/>
      <c r="Z38" s="544"/>
      <c r="AA38" s="3"/>
      <c r="AB38" s="3"/>
      <c r="AC38" s="3"/>
      <c r="AD38" s="3"/>
      <c r="AE38" s="3"/>
      <c r="AF38" s="3"/>
      <c r="AG38" s="3"/>
      <c r="AH38" s="3"/>
      <c r="AI38" s="3"/>
    </row>
    <row r="39" spans="1:35" ht="17.649999999999999" customHeight="1" x14ac:dyDescent="0.25">
      <c r="A39" s="570"/>
      <c r="B39" s="434"/>
      <c r="C39" s="439"/>
      <c r="D39" s="2127" t="s">
        <v>25</v>
      </c>
      <c r="E39" s="2165"/>
      <c r="F39" s="2142" t="s">
        <v>49</v>
      </c>
      <c r="G39" s="2127" t="s">
        <v>475</v>
      </c>
      <c r="H39" s="2165"/>
      <c r="I39" s="2127" t="s">
        <v>51</v>
      </c>
      <c r="J39" s="2127" t="s">
        <v>52</v>
      </c>
      <c r="K39" s="2165"/>
      <c r="L39" s="2127" t="s">
        <v>477</v>
      </c>
      <c r="M39" s="2165"/>
      <c r="N39" s="2136"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65" customHeight="1" x14ac:dyDescent="0.25">
      <c r="A40" s="570"/>
      <c r="B40" s="434"/>
      <c r="C40" s="439"/>
      <c r="D40" s="499" t="s">
        <v>54</v>
      </c>
      <c r="E40" s="499" t="s">
        <v>55</v>
      </c>
      <c r="F40" s="2168"/>
      <c r="G40" s="499" t="s">
        <v>56</v>
      </c>
      <c r="H40" s="499" t="s">
        <v>57</v>
      </c>
      <c r="I40" s="2165"/>
      <c r="J40" s="499" t="s">
        <v>58</v>
      </c>
      <c r="K40" s="499" t="s">
        <v>510</v>
      </c>
      <c r="L40" s="499" t="s">
        <v>478</v>
      </c>
      <c r="M40" s="500" t="s">
        <v>509</v>
      </c>
      <c r="N40" s="2165"/>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25">
      <c r="A41" s="570"/>
      <c r="B41" s="434"/>
      <c r="C41" s="647" t="s">
        <v>816</v>
      </c>
      <c r="D41" s="121">
        <f t="shared" ref="D41:M41" si="2">IF(AND($I$25&gt;0,$I$24="Sim"),D15*$I$27/$N$15,0)</f>
        <v>226.4871794871795</v>
      </c>
      <c r="E41" s="121">
        <f t="shared" si="2"/>
        <v>14.038461538461538</v>
      </c>
      <c r="F41" s="121">
        <f t="shared" si="2"/>
        <v>61.301282051282051</v>
      </c>
      <c r="G41" s="121">
        <f t="shared" si="2"/>
        <v>41.647435897435898</v>
      </c>
      <c r="H41" s="121">
        <f t="shared" si="2"/>
        <v>21.525641025641026</v>
      </c>
      <c r="I41" s="121">
        <f t="shared" si="2"/>
        <v>11.230769230769232</v>
      </c>
      <c r="J41" s="121">
        <f t="shared" si="2"/>
        <v>10.762820512820513</v>
      </c>
      <c r="K41" s="121">
        <f t="shared" si="2"/>
        <v>2.8076923076923079</v>
      </c>
      <c r="L41" s="121">
        <f t="shared" si="2"/>
        <v>47.45</v>
      </c>
      <c r="M41" s="121">
        <f t="shared" si="2"/>
        <v>30.697435897435909</v>
      </c>
      <c r="N41" s="98">
        <f>SUM(D41:M41)</f>
        <v>467.94871794871801</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25">
      <c r="A42" s="570"/>
      <c r="B42" s="434"/>
      <c r="C42" s="648" t="s">
        <v>96</v>
      </c>
      <c r="D42" s="121">
        <f>O32</f>
        <v>192.51410256410259</v>
      </c>
      <c r="E42" s="121">
        <f>O33</f>
        <v>11.932692307692307</v>
      </c>
      <c r="F42" s="121">
        <f>O24</f>
        <v>15.325320512820513</v>
      </c>
      <c r="G42" s="121">
        <f>O25</f>
        <v>10.411858974358974</v>
      </c>
      <c r="H42" s="121">
        <f>O26</f>
        <v>5.3814102564102564</v>
      </c>
      <c r="I42" s="121">
        <f>O27</f>
        <v>2.8076923076923079</v>
      </c>
      <c r="J42" s="121">
        <f>O28</f>
        <v>2.6907051282051282</v>
      </c>
      <c r="K42" s="121">
        <f>O29</f>
        <v>0.70192307692307698</v>
      </c>
      <c r="L42" s="121">
        <v>0</v>
      </c>
      <c r="M42" s="121">
        <v>0</v>
      </c>
      <c r="N42" s="98">
        <f>SUM(D42:M42)</f>
        <v>241.76570512820518</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25">
      <c r="A43" s="570"/>
      <c r="B43" s="434"/>
      <c r="C43" s="648" t="s">
        <v>817</v>
      </c>
      <c r="D43" s="122">
        <f t="shared" ref="D43:M43" si="3">D41-D42</f>
        <v>33.973076923076917</v>
      </c>
      <c r="E43" s="122">
        <f t="shared" si="3"/>
        <v>2.1057692307692317</v>
      </c>
      <c r="F43" s="122">
        <f t="shared" si="3"/>
        <v>45.97596153846154</v>
      </c>
      <c r="G43" s="122">
        <f t="shared" si="3"/>
        <v>31.235576923076923</v>
      </c>
      <c r="H43" s="122">
        <f t="shared" si="3"/>
        <v>16.14423076923077</v>
      </c>
      <c r="I43" s="122">
        <f t="shared" si="3"/>
        <v>8.4230769230769234</v>
      </c>
      <c r="J43" s="122">
        <f t="shared" si="3"/>
        <v>8.072115384615385</v>
      </c>
      <c r="K43" s="122">
        <f t="shared" si="3"/>
        <v>2.1057692307692308</v>
      </c>
      <c r="L43" s="122">
        <f t="shared" si="3"/>
        <v>47.45</v>
      </c>
      <c r="M43" s="122">
        <f t="shared" si="3"/>
        <v>30.697435897435909</v>
      </c>
      <c r="N43" s="98">
        <f>SUM(D43:M43)</f>
        <v>226.18301282051283</v>
      </c>
      <c r="O43" s="548"/>
      <c r="P43" s="492"/>
      <c r="Q43" s="544"/>
      <c r="R43" s="544"/>
      <c r="S43" s="544" t="s">
        <v>62</v>
      </c>
      <c r="T43" s="544">
        <f>IF($I$28="CDR",O34,0)</f>
        <v>176.88461538461536</v>
      </c>
      <c r="U43" s="544" t="s">
        <v>53</v>
      </c>
      <c r="V43" s="544"/>
      <c r="W43" s="544"/>
      <c r="X43" s="544"/>
      <c r="Y43" s="544"/>
      <c r="Z43" s="544"/>
      <c r="AA43" s="3"/>
      <c r="AB43" s="3"/>
      <c r="AC43" s="3"/>
      <c r="AD43" s="3"/>
      <c r="AE43" s="3"/>
      <c r="AF43" s="3"/>
      <c r="AG43" s="3"/>
      <c r="AH43" s="3"/>
      <c r="AI43" s="3"/>
    </row>
    <row r="44" spans="1:35" ht="18" customHeight="1" x14ac:dyDescent="0.25">
      <c r="A44" s="570"/>
      <c r="B44" s="434"/>
      <c r="C44" s="648" t="s">
        <v>98</v>
      </c>
      <c r="D44" s="98">
        <f t="shared" ref="D44:M44" si="4">D15-D41</f>
        <v>0</v>
      </c>
      <c r="E44" s="98">
        <f t="shared" si="4"/>
        <v>0</v>
      </c>
      <c r="F44" s="98">
        <f t="shared" si="4"/>
        <v>0</v>
      </c>
      <c r="G44" s="98">
        <f t="shared" si="4"/>
        <v>0</v>
      </c>
      <c r="H44" s="98">
        <f t="shared" si="4"/>
        <v>0</v>
      </c>
      <c r="I44" s="98">
        <f t="shared" si="4"/>
        <v>0</v>
      </c>
      <c r="J44" s="98">
        <f t="shared" si="4"/>
        <v>0</v>
      </c>
      <c r="K44" s="98">
        <f t="shared" si="4"/>
        <v>0</v>
      </c>
      <c r="L44" s="98">
        <f t="shared" si="4"/>
        <v>0</v>
      </c>
      <c r="M44" s="98">
        <f t="shared" si="4"/>
        <v>0</v>
      </c>
      <c r="N44" s="98">
        <f>SUM(D44:M44)</f>
        <v>0</v>
      </c>
      <c r="O44" s="548"/>
      <c r="P44" s="492"/>
      <c r="Q44" s="544"/>
      <c r="R44" s="544" t="s">
        <v>99</v>
      </c>
      <c r="S44" s="544" t="s">
        <v>64</v>
      </c>
      <c r="T44" s="544">
        <f>IF($I$28="Incineração",O34+O35,0)</f>
        <v>0</v>
      </c>
      <c r="U44" s="544"/>
      <c r="V44" s="544"/>
      <c r="W44" s="544"/>
      <c r="X44" s="544"/>
      <c r="Y44" s="544"/>
      <c r="Z44" s="544"/>
      <c r="AA44" s="3"/>
      <c r="AB44" s="3"/>
      <c r="AC44" s="3"/>
      <c r="AD44" s="3"/>
      <c r="AE44" s="3"/>
      <c r="AF44" s="3"/>
      <c r="AG44" s="3"/>
      <c r="AH44" s="3"/>
      <c r="AI44" s="3"/>
    </row>
    <row r="45" spans="1:35" ht="18" customHeight="1" x14ac:dyDescent="0.25">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1500000000000004" customHeight="1" x14ac:dyDescent="0.25">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25">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25">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25">
      <c r="A49" s="574"/>
      <c r="B49" s="434"/>
      <c r="C49" s="92"/>
      <c r="D49" s="118" t="s">
        <v>515</v>
      </c>
      <c r="E49" s="122">
        <f>IF(E30="CDR",M34,0)</f>
        <v>0</v>
      </c>
      <c r="F49" s="434"/>
      <c r="G49" s="92"/>
      <c r="H49" s="118" t="s">
        <v>72</v>
      </c>
      <c r="I49" s="98">
        <f>SUM(E49:E52)</f>
        <v>176.88461538461536</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25">
      <c r="A50" s="574"/>
      <c r="B50" s="434"/>
      <c r="C50" s="92"/>
      <c r="D50" s="118" t="s">
        <v>516</v>
      </c>
      <c r="E50" s="122">
        <f>IF(E34="CDR",N34,0)</f>
        <v>0</v>
      </c>
      <c r="F50" s="434"/>
      <c r="G50" s="564"/>
      <c r="H50" s="564"/>
      <c r="I50" s="966"/>
      <c r="J50" s="434"/>
      <c r="K50" s="118" t="s">
        <v>105</v>
      </c>
      <c r="L50" s="967">
        <f>100-L49</f>
        <v>100</v>
      </c>
      <c r="M50" s="434"/>
      <c r="N50" s="118" t="s">
        <v>106</v>
      </c>
      <c r="O50" s="968">
        <f>(I49-O53-O55)*L50/100</f>
        <v>84.020192307692298</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25">
      <c r="A51" s="574"/>
      <c r="B51" s="434"/>
      <c r="C51" s="92"/>
      <c r="D51" s="118" t="s">
        <v>517</v>
      </c>
      <c r="E51" s="122">
        <f>IF(I28="CDR",O34,0)</f>
        <v>176.88461538461536</v>
      </c>
      <c r="F51" s="434"/>
      <c r="G51" s="92"/>
      <c r="H51" s="118" t="s">
        <v>520</v>
      </c>
      <c r="I51" s="98">
        <f>IF(E52=0,I49,0)</f>
        <v>176.88461538461536</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25">
      <c r="A52" s="574"/>
      <c r="B52" s="434"/>
      <c r="C52" s="92"/>
      <c r="D52" s="118" t="s">
        <v>518</v>
      </c>
      <c r="E52" s="122">
        <f>IF(I29="Biosecagem CDR",L32,0)</f>
        <v>0</v>
      </c>
      <c r="F52" s="434"/>
      <c r="G52" s="92"/>
      <c r="H52" s="118" t="s">
        <v>521</v>
      </c>
      <c r="I52" s="98">
        <f>IF(E52&gt;0,I49,0)</f>
        <v>0</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25">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88.442307692307679</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25">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25">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4.4221153846153838</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25">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399999999999999" customHeight="1" x14ac:dyDescent="0.25">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25">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
      <c r="A59" s="575"/>
      <c r="B59" s="439"/>
      <c r="C59" s="707"/>
      <c r="D59" s="118" t="s">
        <v>522</v>
      </c>
      <c r="E59" s="122">
        <f>IF(AND(I29&lt;&gt;"Biosecagem CDR",I29&lt;&gt;"Aterro sanitário",I29&lt;&gt;"Incineração"),L32,0)</f>
        <v>204.44679487179491</v>
      </c>
      <c r="F59" s="356">
        <f>IF(E59&gt;0,E59/E60,"")</f>
        <v>1</v>
      </c>
      <c r="G59" s="433"/>
      <c r="H59" s="132"/>
      <c r="I59" s="118" t="s">
        <v>110</v>
      </c>
      <c r="J59" s="131">
        <v>0</v>
      </c>
      <c r="K59" s="653" t="str">
        <f>IF(J59&lt;&gt;0,"&gt;&gt;&gt;&gt;","")</f>
        <v/>
      </c>
      <c r="L59" s="654" t="str">
        <f>IF(J59&gt;0,J59/100*E60,"")</f>
        <v/>
      </c>
      <c r="M59" s="643" t="str">
        <f>IF(J59&gt;0,"t/d","")</f>
        <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
      <c r="A60" s="575"/>
      <c r="B60" s="439"/>
      <c r="C60" s="707"/>
      <c r="D60" s="118" t="s">
        <v>111</v>
      </c>
      <c r="E60" s="122">
        <f>SUM(E58:E59)</f>
        <v>204.44679487179491</v>
      </c>
      <c r="F60" s="358">
        <f>IF(E60&gt;0,E60/E60,"")</f>
        <v>1</v>
      </c>
      <c r="G60" s="433"/>
      <c r="H60" s="132"/>
      <c r="I60" s="118" t="s">
        <v>112</v>
      </c>
      <c r="J60" s="131">
        <v>100</v>
      </c>
      <c r="K60" s="435" t="str">
        <f>IF(J60&lt;&gt;0,"&gt;&gt;&gt;&gt;","")</f>
        <v>&gt;&gt;&gt;&gt;</v>
      </c>
      <c r="L60" s="651">
        <f>IF(J60&gt;0,J60/100*E60,"")</f>
        <v>204.44679487179491</v>
      </c>
      <c r="M60" s="436" t="str">
        <f>IF(J60&gt;0,"t/d","")</f>
        <v>t/d</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25">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45" t="s">
        <v>113</v>
      </c>
      <c r="O61" s="2146"/>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25">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0</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25">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204.44679487179491</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25">
      <c r="A64" s="575"/>
      <c r="B64" s="439"/>
      <c r="C64" s="132"/>
      <c r="D64" s="118" t="s">
        <v>121</v>
      </c>
      <c r="E64" s="130" t="s">
        <v>122</v>
      </c>
      <c r="F64" s="132"/>
      <c r="G64" s="433"/>
      <c r="H64" s="132"/>
      <c r="I64" s="118" t="s">
        <v>123</v>
      </c>
      <c r="J64" s="131">
        <v>50</v>
      </c>
      <c r="K64" s="433"/>
      <c r="L64" s="433"/>
      <c r="M64" s="132"/>
      <c r="N64" s="118" t="s">
        <v>526</v>
      </c>
      <c r="O64" s="659">
        <f>IF(J67&lt;&gt;"Compost. nobre",E60*J61/100+J68,E60*J61/100)</f>
        <v>0</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25">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25">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25">
      <c r="A67" s="575"/>
      <c r="B67" s="439"/>
      <c r="C67" s="439"/>
      <c r="D67" s="433"/>
      <c r="E67" s="433"/>
      <c r="F67" s="433"/>
      <c r="G67" s="433"/>
      <c r="H67" s="132"/>
      <c r="I67" s="118" t="s">
        <v>130</v>
      </c>
      <c r="J67" s="130" t="s">
        <v>117</v>
      </c>
      <c r="K67" s="433"/>
      <c r="L67" s="433"/>
      <c r="M67" s="132"/>
      <c r="N67" s="118" t="s">
        <v>131</v>
      </c>
      <c r="O67" s="661">
        <f>O63-O63*(F69+F71)</f>
        <v>92.001057692307697</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25">
      <c r="A68" s="575"/>
      <c r="B68" s="439"/>
      <c r="C68" s="663"/>
      <c r="D68" s="128" t="s">
        <v>132</v>
      </c>
      <c r="E68" s="128"/>
      <c r="F68" s="708"/>
      <c r="G68" s="433"/>
      <c r="H68" s="132"/>
      <c r="I68" s="118" t="s">
        <v>133</v>
      </c>
      <c r="J68" s="659">
        <f>IF(J67&lt;&gt;"Uso agrícola dir.",E60*J59/100*(1-F63),0)</f>
        <v>0</v>
      </c>
      <c r="K68" s="433"/>
      <c r="L68" s="433"/>
      <c r="M68" s="132"/>
      <c r="N68" s="118" t="s">
        <v>134</v>
      </c>
      <c r="O68" s="661">
        <f>O64-O64*(F69+F71)</f>
        <v>0</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25">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0</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25">
      <c r="A70" s="575"/>
      <c r="B70" s="439"/>
      <c r="C70" s="439"/>
      <c r="D70" s="596"/>
      <c r="E70" s="439"/>
      <c r="F70" s="439"/>
      <c r="G70" s="433"/>
      <c r="H70" s="433"/>
      <c r="I70" s="665"/>
      <c r="J70" s="666" t="s">
        <v>524</v>
      </c>
      <c r="K70" s="479"/>
      <c r="L70" s="433"/>
      <c r="M70" s="664"/>
      <c r="N70" s="600" t="s">
        <v>136</v>
      </c>
      <c r="O70" s="662">
        <f>IF(J59&gt;0,O62*J64/100*F65*'R-Avançado'!F23/100*'R-Avançado'!F24/100,0)</f>
        <v>0</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25">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25">
      <c r="A72" s="575"/>
      <c r="B72" s="439"/>
      <c r="C72" s="439"/>
      <c r="D72" s="433"/>
      <c r="E72" s="433"/>
      <c r="F72" s="433"/>
      <c r="G72" s="433"/>
      <c r="H72" s="433"/>
      <c r="I72" s="2154" t="s">
        <v>126</v>
      </c>
      <c r="J72" s="2155"/>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25">
      <c r="A73" s="575"/>
      <c r="B73" s="439"/>
      <c r="C73" s="439"/>
      <c r="D73" s="433"/>
      <c r="E73" s="433"/>
      <c r="F73" s="433"/>
      <c r="G73" s="433"/>
      <c r="H73" s="433"/>
      <c r="I73" s="433"/>
      <c r="J73" s="433"/>
      <c r="K73" s="433"/>
      <c r="L73" s="132"/>
      <c r="M73" s="132"/>
      <c r="N73" s="118" t="s">
        <v>527</v>
      </c>
      <c r="O73" s="661">
        <f>(O63+O64)*F71</f>
        <v>51.111698717948727</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25">
      <c r="A74" s="570"/>
      <c r="B74" s="530"/>
      <c r="C74" s="530"/>
      <c r="D74" s="434"/>
      <c r="E74" s="434"/>
      <c r="F74" s="434"/>
      <c r="G74" s="434"/>
      <c r="H74" s="434"/>
      <c r="I74" s="434"/>
      <c r="J74" s="434"/>
      <c r="K74" s="434"/>
      <c r="L74" s="92"/>
      <c r="M74" s="92"/>
      <c r="N74" s="118" t="s">
        <v>140</v>
      </c>
      <c r="O74" s="969">
        <f>O62*F63+O63*F69+O64*F69</f>
        <v>61.334038461538469</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25">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25">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25">
      <c r="A77" s="570"/>
      <c r="B77" s="467"/>
      <c r="C77" s="467"/>
      <c r="D77" s="2152" t="s">
        <v>533</v>
      </c>
      <c r="E77" s="2153"/>
      <c r="F77" s="2153"/>
      <c r="G77" s="2153"/>
      <c r="H77" s="2153"/>
      <c r="I77" s="2153"/>
      <c r="J77" s="2153"/>
      <c r="K77" s="2153"/>
      <c r="L77" s="2153"/>
      <c r="M77" s="2153"/>
      <c r="N77" s="2153"/>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25">
      <c r="A78" s="570"/>
      <c r="B78" s="467"/>
      <c r="C78" s="467"/>
      <c r="D78" s="2152" t="s">
        <v>25</v>
      </c>
      <c r="E78" s="2153"/>
      <c r="F78" s="2157" t="s">
        <v>49</v>
      </c>
      <c r="G78" s="2152" t="s">
        <v>475</v>
      </c>
      <c r="H78" s="2153"/>
      <c r="I78" s="2152" t="s">
        <v>476</v>
      </c>
      <c r="J78" s="2152" t="s">
        <v>52</v>
      </c>
      <c r="K78" s="2153"/>
      <c r="L78" s="2152" t="s">
        <v>477</v>
      </c>
      <c r="M78" s="2153"/>
      <c r="N78" s="2156"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25">
      <c r="A79" s="570"/>
      <c r="B79" s="467"/>
      <c r="C79" s="607"/>
      <c r="D79" s="505" t="s">
        <v>54</v>
      </c>
      <c r="E79" s="505" t="s">
        <v>55</v>
      </c>
      <c r="F79" s="2158"/>
      <c r="G79" s="505" t="s">
        <v>56</v>
      </c>
      <c r="H79" s="505" t="s">
        <v>57</v>
      </c>
      <c r="I79" s="2153"/>
      <c r="J79" s="505" t="s">
        <v>58</v>
      </c>
      <c r="K79" s="505" t="s">
        <v>510</v>
      </c>
      <c r="L79" s="505" t="s">
        <v>478</v>
      </c>
      <c r="M79" s="506" t="s">
        <v>509</v>
      </c>
      <c r="N79" s="2153"/>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25">
      <c r="A80" s="570"/>
      <c r="B80" s="467"/>
      <c r="C80" s="118" t="s">
        <v>838</v>
      </c>
      <c r="D80" s="135">
        <f t="shared" ref="D80:M80" si="5">SUM(D81:D84)</f>
        <v>33.973076923076917</v>
      </c>
      <c r="E80" s="135">
        <f t="shared" si="5"/>
        <v>2.1057692307692317</v>
      </c>
      <c r="F80" s="135">
        <f t="shared" si="5"/>
        <v>45.97596153846154</v>
      </c>
      <c r="G80" s="135">
        <f t="shared" si="5"/>
        <v>31.235576923076923</v>
      </c>
      <c r="H80" s="135">
        <f t="shared" si="5"/>
        <v>16.14423076923077</v>
      </c>
      <c r="I80" s="135">
        <f t="shared" si="5"/>
        <v>8.4230769230769234</v>
      </c>
      <c r="J80" s="135">
        <f t="shared" si="5"/>
        <v>8.072115384615385</v>
      </c>
      <c r="K80" s="135">
        <f t="shared" si="5"/>
        <v>2.1057692307692308</v>
      </c>
      <c r="L80" s="135">
        <f t="shared" si="5"/>
        <v>47.45</v>
      </c>
      <c r="M80" s="135">
        <f t="shared" si="5"/>
        <v>30.697435897435909</v>
      </c>
      <c r="N80" s="669">
        <f>SUM(D80:M80)</f>
        <v>226.18301282051283</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25">
      <c r="A81" s="570"/>
      <c r="B81" s="467"/>
      <c r="C81" s="117" t="s">
        <v>98</v>
      </c>
      <c r="D81" s="141">
        <f t="shared" ref="D81:M81" si="6">D44</f>
        <v>0</v>
      </c>
      <c r="E81" s="141">
        <f t="shared" si="6"/>
        <v>0</v>
      </c>
      <c r="F81" s="141">
        <f t="shared" si="6"/>
        <v>0</v>
      </c>
      <c r="G81" s="141">
        <f t="shared" si="6"/>
        <v>0</v>
      </c>
      <c r="H81" s="141">
        <f t="shared" si="6"/>
        <v>0</v>
      </c>
      <c r="I81" s="141">
        <f t="shared" si="6"/>
        <v>0</v>
      </c>
      <c r="J81" s="141">
        <f t="shared" si="6"/>
        <v>0</v>
      </c>
      <c r="K81" s="141">
        <f t="shared" si="6"/>
        <v>0</v>
      </c>
      <c r="L81" s="141">
        <f t="shared" si="6"/>
        <v>0</v>
      </c>
      <c r="M81" s="141">
        <f t="shared" si="6"/>
        <v>0</v>
      </c>
      <c r="N81" s="670">
        <f>SUM(D81:M81)</f>
        <v>0</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25">
      <c r="A82" s="570"/>
      <c r="B82" s="467"/>
      <c r="C82" s="117" t="s">
        <v>141</v>
      </c>
      <c r="D82" s="141">
        <f t="shared" ref="D82:M82" si="7">D43</f>
        <v>33.973076923076917</v>
      </c>
      <c r="E82" s="141">
        <f t="shared" si="7"/>
        <v>2.1057692307692317</v>
      </c>
      <c r="F82" s="141">
        <f t="shared" si="7"/>
        <v>45.97596153846154</v>
      </c>
      <c r="G82" s="141">
        <f t="shared" si="7"/>
        <v>31.235576923076923</v>
      </c>
      <c r="H82" s="141">
        <f t="shared" si="7"/>
        <v>16.14423076923077</v>
      </c>
      <c r="I82" s="141">
        <f t="shared" si="7"/>
        <v>8.4230769230769234</v>
      </c>
      <c r="J82" s="141">
        <f t="shared" si="7"/>
        <v>8.072115384615385</v>
      </c>
      <c r="K82" s="141">
        <f t="shared" si="7"/>
        <v>2.1057692307692308</v>
      </c>
      <c r="L82" s="141">
        <f t="shared" si="7"/>
        <v>47.45</v>
      </c>
      <c r="M82" s="141">
        <f t="shared" si="7"/>
        <v>30.697435897435909</v>
      </c>
      <c r="N82" s="670">
        <f>SUM(D82:M82)</f>
        <v>226.18301282051283</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25">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25">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 customHeight="1" x14ac:dyDescent="0.25">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25">
      <c r="A86" s="570"/>
      <c r="B86" s="467"/>
      <c r="C86" s="118" t="s">
        <v>837</v>
      </c>
      <c r="D86" s="200">
        <f t="shared" ref="D86:M86" si="8">SUM(D87:D89)</f>
        <v>33.973076923076917</v>
      </c>
      <c r="E86" s="200">
        <f t="shared" si="8"/>
        <v>2.1057692307692317</v>
      </c>
      <c r="F86" s="200">
        <f t="shared" si="8"/>
        <v>45.97596153846154</v>
      </c>
      <c r="G86" s="200">
        <f t="shared" si="8"/>
        <v>31.235576923076923</v>
      </c>
      <c r="H86" s="200">
        <f t="shared" si="8"/>
        <v>16.14423076923077</v>
      </c>
      <c r="I86" s="200">
        <f t="shared" si="8"/>
        <v>0</v>
      </c>
      <c r="J86" s="200">
        <f t="shared" si="8"/>
        <v>0</v>
      </c>
      <c r="K86" s="200">
        <f t="shared" si="8"/>
        <v>0</v>
      </c>
      <c r="L86" s="200">
        <f t="shared" si="8"/>
        <v>47.45</v>
      </c>
      <c r="M86" s="200">
        <f t="shared" si="8"/>
        <v>0</v>
      </c>
      <c r="N86" s="200">
        <f>SUM(D86:M86)</f>
        <v>176.88461538461536</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25">
      <c r="A87" s="570"/>
      <c r="B87" s="467"/>
      <c r="C87" s="117" t="s">
        <v>141</v>
      </c>
      <c r="D87" s="156">
        <f>IF($E$51&gt;0,D43,0)</f>
        <v>33.973076923076917</v>
      </c>
      <c r="E87" s="143">
        <f>IF($E$51&gt;0,E43,0)</f>
        <v>2.1057692307692317</v>
      </c>
      <c r="F87" s="143">
        <f>IF($E$51&gt;0,F43,0)</f>
        <v>45.97596153846154</v>
      </c>
      <c r="G87" s="143">
        <f>IF($E$51&gt;0,G43,0)</f>
        <v>31.235576923076923</v>
      </c>
      <c r="H87" s="143">
        <f>IF($E$51&gt;0,H43,0)</f>
        <v>16.14423076923077</v>
      </c>
      <c r="I87" s="133"/>
      <c r="J87" s="133"/>
      <c r="K87" s="133"/>
      <c r="L87" s="156">
        <f>IF($E$51&gt;0,L43,0)</f>
        <v>47.45</v>
      </c>
      <c r="M87" s="143"/>
      <c r="N87" s="677">
        <f>SUM(D87:M87)</f>
        <v>176.88461538461536</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25">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25">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25">
      <c r="A90" s="570"/>
      <c r="B90" s="467"/>
      <c r="C90" s="118" t="s">
        <v>556</v>
      </c>
      <c r="D90" s="135">
        <f t="shared" ref="D90:M90" si="9">D80-D86</f>
        <v>0</v>
      </c>
      <c r="E90" s="135">
        <f t="shared" si="9"/>
        <v>0</v>
      </c>
      <c r="F90" s="135">
        <f t="shared" si="9"/>
        <v>0</v>
      </c>
      <c r="G90" s="135">
        <f t="shared" si="9"/>
        <v>0</v>
      </c>
      <c r="H90" s="135">
        <f t="shared" si="9"/>
        <v>0</v>
      </c>
      <c r="I90" s="135">
        <f t="shared" si="9"/>
        <v>8.4230769230769234</v>
      </c>
      <c r="J90" s="135">
        <f t="shared" si="9"/>
        <v>8.072115384615385</v>
      </c>
      <c r="K90" s="135">
        <f t="shared" si="9"/>
        <v>2.1057692307692308</v>
      </c>
      <c r="L90" s="135">
        <f t="shared" si="9"/>
        <v>0</v>
      </c>
      <c r="M90" s="135">
        <f t="shared" si="9"/>
        <v>30.697435897435909</v>
      </c>
      <c r="N90" s="669">
        <f>SUM(D90:M90)</f>
        <v>49.298397435897442</v>
      </c>
      <c r="O90" s="569"/>
      <c r="P90" s="588"/>
      <c r="Q90" s="544"/>
      <c r="R90" s="544"/>
      <c r="S90" s="544"/>
      <c r="T90" s="544"/>
      <c r="U90" s="544"/>
      <c r="V90" s="544"/>
      <c r="W90" s="544"/>
      <c r="X90" s="544"/>
      <c r="Y90" s="544"/>
      <c r="Z90" s="544"/>
      <c r="AA90" s="3"/>
      <c r="AB90" s="3"/>
      <c r="AC90" s="3"/>
      <c r="AD90" s="3"/>
      <c r="AE90" s="3"/>
      <c r="AF90" s="3"/>
      <c r="AG90" s="3"/>
      <c r="AH90" s="3"/>
      <c r="AI90" s="3"/>
    </row>
    <row r="91" spans="1:35" ht="1.9" customHeight="1" x14ac:dyDescent="0.25">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25">
      <c r="A92" s="570"/>
      <c r="B92" s="467"/>
      <c r="C92" s="117" t="s">
        <v>144</v>
      </c>
      <c r="D92" s="200">
        <f>D90-D94+D97+(IF(I29="Incineração",O32,0))</f>
        <v>0</v>
      </c>
      <c r="E92" s="200">
        <f>E90-E94+E97+(IF(I29="Incineração",O33,0))</f>
        <v>0</v>
      </c>
      <c r="F92" s="200">
        <f t="shared" ref="F92:L92" si="10">F90-F94</f>
        <v>0</v>
      </c>
      <c r="G92" s="200">
        <f t="shared" si="10"/>
        <v>0</v>
      </c>
      <c r="H92" s="200">
        <f t="shared" si="10"/>
        <v>0</v>
      </c>
      <c r="I92" s="200">
        <f t="shared" si="10"/>
        <v>0</v>
      </c>
      <c r="J92" s="200">
        <f t="shared" si="10"/>
        <v>0</v>
      </c>
      <c r="K92" s="200">
        <f t="shared" si="10"/>
        <v>0</v>
      </c>
      <c r="L92" s="200">
        <f t="shared" si="10"/>
        <v>0</v>
      </c>
      <c r="M92" s="200">
        <f>M90-M94+M100+M101</f>
        <v>0</v>
      </c>
      <c r="N92" s="200">
        <f>SUM(D92:M93)</f>
        <v>0</v>
      </c>
      <c r="O92" s="569"/>
      <c r="P92" s="569"/>
      <c r="Q92" s="544"/>
      <c r="R92" s="544"/>
      <c r="S92" s="544"/>
      <c r="T92" s="544"/>
      <c r="U92" s="544"/>
      <c r="V92" s="544"/>
      <c r="W92" s="544"/>
      <c r="X92" s="544"/>
      <c r="Y92" s="544"/>
      <c r="Z92" s="544"/>
      <c r="AA92" s="3"/>
      <c r="AB92" s="3"/>
      <c r="AC92" s="3"/>
      <c r="AD92" s="3"/>
      <c r="AE92" s="3"/>
      <c r="AF92" s="3"/>
      <c r="AG92" s="3"/>
      <c r="AH92" s="3"/>
      <c r="AI92" s="3"/>
    </row>
    <row r="93" spans="1:35" ht="1.9" customHeight="1" x14ac:dyDescent="0.25">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25">
      <c r="A94" s="570"/>
      <c r="B94" s="467"/>
      <c r="C94" s="117" t="s">
        <v>145</v>
      </c>
      <c r="D94" s="200">
        <f t="shared" ref="D94:L94" si="11">SUM(D95:D99)</f>
        <v>0</v>
      </c>
      <c r="E94" s="200">
        <f t="shared" si="11"/>
        <v>0</v>
      </c>
      <c r="F94" s="200">
        <f t="shared" si="11"/>
        <v>0</v>
      </c>
      <c r="G94" s="200">
        <f t="shared" si="11"/>
        <v>0</v>
      </c>
      <c r="H94" s="200">
        <f t="shared" si="11"/>
        <v>0</v>
      </c>
      <c r="I94" s="200">
        <f t="shared" si="11"/>
        <v>8.4230769230769234</v>
      </c>
      <c r="J94" s="200">
        <f t="shared" si="11"/>
        <v>8.072115384615385</v>
      </c>
      <c r="K94" s="200">
        <f t="shared" si="11"/>
        <v>2.1057692307692308</v>
      </c>
      <c r="L94" s="200">
        <f t="shared" si="11"/>
        <v>0</v>
      </c>
      <c r="M94" s="200">
        <f>SUM(M95:M101)</f>
        <v>170.25144230769234</v>
      </c>
      <c r="N94" s="200">
        <f t="shared" ref="N94:N101" si="12">SUM(D94:M94)</f>
        <v>188.85240384615389</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25">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25">
      <c r="A96" s="570"/>
      <c r="B96" s="467"/>
      <c r="C96" s="117" t="s">
        <v>141</v>
      </c>
      <c r="D96" s="141">
        <f t="shared" ref="D96:K96" si="14">IF($E$110&gt;0,0,D82-D86)</f>
        <v>0</v>
      </c>
      <c r="E96" s="141">
        <f t="shared" si="14"/>
        <v>0</v>
      </c>
      <c r="F96" s="141">
        <f t="shared" si="14"/>
        <v>0</v>
      </c>
      <c r="G96" s="141">
        <f t="shared" si="14"/>
        <v>0</v>
      </c>
      <c r="H96" s="141">
        <f t="shared" si="14"/>
        <v>0</v>
      </c>
      <c r="I96" s="141">
        <f t="shared" si="14"/>
        <v>8.4230769230769234</v>
      </c>
      <c r="J96" s="141">
        <f t="shared" si="14"/>
        <v>8.072115384615385</v>
      </c>
      <c r="K96" s="141">
        <f t="shared" si="14"/>
        <v>2.1057692307692308</v>
      </c>
      <c r="L96" s="141">
        <f>IF(OR($I$28="Incineração",I28="CDR"),0,L43)</f>
        <v>0</v>
      </c>
      <c r="M96" s="141">
        <f>IF($I$28="Incineração",0,M43)</f>
        <v>30.697435897435909</v>
      </c>
      <c r="N96" s="670">
        <f t="shared" si="12"/>
        <v>49.298397435897442</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25">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25">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25">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25">
      <c r="A100" s="570"/>
      <c r="B100" s="467"/>
      <c r="C100" s="117" t="s">
        <v>147</v>
      </c>
      <c r="D100" s="141"/>
      <c r="E100" s="141"/>
      <c r="F100" s="141"/>
      <c r="G100" s="141"/>
      <c r="H100" s="141"/>
      <c r="I100" s="141"/>
      <c r="J100" s="141"/>
      <c r="K100" s="141"/>
      <c r="L100" s="141"/>
      <c r="M100" s="141">
        <f>O73+O53</f>
        <v>139.55400641025642</v>
      </c>
      <c r="N100" s="670">
        <f t="shared" si="12"/>
        <v>139.55400641025642</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25">
      <c r="A101" s="570"/>
      <c r="B101" s="467"/>
      <c r="C101" s="117" t="s">
        <v>148</v>
      </c>
      <c r="D101" s="141"/>
      <c r="E101" s="141"/>
      <c r="F101" s="141"/>
      <c r="G101" s="141"/>
      <c r="H101" s="141"/>
      <c r="I101" s="141"/>
      <c r="J101" s="141"/>
      <c r="K101" s="141"/>
      <c r="L101" s="141"/>
      <c r="M101" s="141">
        <f>O110</f>
        <v>0</v>
      </c>
      <c r="N101" s="670">
        <f t="shared" si="12"/>
        <v>0</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25">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25">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25">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25">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25">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25">
      <c r="A107" s="570"/>
      <c r="B107" s="569"/>
      <c r="C107" s="511"/>
      <c r="D107" s="118" t="s">
        <v>152</v>
      </c>
      <c r="E107" s="240">
        <f>IF(AND(H106="Sim", I24="Sim"),N15-I27,IF(AND(H106="Sim", I24="Não"),N15,0))</f>
        <v>0</v>
      </c>
      <c r="F107" s="612" t="str">
        <f>IF(AND(H106="Sim",E107=0),"Valor '0,00', mesmo com 'Sim' porque não há mistos sem triagem disponíveis","")</f>
        <v>Valor '0,00', mesmo com 'Sim' porque não há mistos sem triagem disponíveis</v>
      </c>
      <c r="G107" s="581"/>
      <c r="H107" s="581"/>
      <c r="I107" s="581"/>
      <c r="J107" s="581"/>
      <c r="K107" s="581"/>
      <c r="L107" s="681"/>
      <c r="M107" s="615"/>
      <c r="N107" s="126" t="s">
        <v>531</v>
      </c>
      <c r="O107" s="684">
        <f>IF(E112&gt;0,K112*J90*(E110/E112+E107/E112)*(E110+E107)/E112,0)</f>
        <v>0</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25">
      <c r="A108" s="570"/>
      <c r="B108" s="569"/>
      <c r="C108" s="511"/>
      <c r="D108" s="118" t="s">
        <v>528</v>
      </c>
      <c r="E108" s="240">
        <f>IF(E30="Incineração",M34+M35,0)</f>
        <v>0</v>
      </c>
      <c r="F108" s="612" t="str">
        <f>IF(AND(H106="Sim",E107=0),"Neste caso assinale 'Não' acima.","")</f>
        <v>Neste caso assinale 'Não' acima.</v>
      </c>
      <c r="G108" s="581"/>
      <c r="H108" s="613"/>
      <c r="I108" s="581"/>
      <c r="J108" s="611"/>
      <c r="K108" s="581"/>
      <c r="L108" s="681"/>
      <c r="M108" s="615"/>
      <c r="N108" s="126" t="s">
        <v>153</v>
      </c>
      <c r="O108" s="684">
        <f>IF(E112&gt;0,K90*K112*(E107/E112+E110/E112)*(E107+E110)/E112,0)</f>
        <v>0</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25">
      <c r="A109" s="570"/>
      <c r="B109" s="569"/>
      <c r="C109" s="511"/>
      <c r="D109" s="118" t="s">
        <v>529</v>
      </c>
      <c r="E109" s="240">
        <f>IF(E34="Incineração",N34+N35,0)</f>
        <v>0</v>
      </c>
      <c r="F109" s="2150" t="str">
        <f>IF(AND(E112&gt;0,E112&lt;500),"Cap. mín. é 500 t/d.  Rever envios à incineração em H106, E30, E34 ou I28","")</f>
        <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25">
      <c r="A110" s="570"/>
      <c r="B110" s="569"/>
      <c r="C110" s="511"/>
      <c r="D110" s="118" t="s">
        <v>530</v>
      </c>
      <c r="E110" s="240">
        <f>IF(I28="Incineração",N43,0)</f>
        <v>0</v>
      </c>
      <c r="F110" s="2151"/>
      <c r="G110" s="616"/>
      <c r="H110" s="616"/>
      <c r="I110" s="616"/>
      <c r="J110" s="620"/>
      <c r="K110" s="679"/>
      <c r="L110" s="681"/>
      <c r="M110" s="615"/>
      <c r="N110" s="126" t="s">
        <v>156</v>
      </c>
      <c r="O110" s="684">
        <f>(E112*J111/100)*(1-J113/100)</f>
        <v>0</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25">
      <c r="A111" s="570"/>
      <c r="B111" s="569"/>
      <c r="C111" s="707"/>
      <c r="D111" s="1705" t="s">
        <v>522</v>
      </c>
      <c r="E111" s="122">
        <f>IF(AND(I29&lt;&gt;"Biosecagem CDR",I29&lt;&gt;"Aterro sanitário",I29&lt;&gt;"Tratam. biológico"),L32,0)</f>
        <v>0</v>
      </c>
      <c r="F111" s="2151"/>
      <c r="G111" s="681"/>
      <c r="H111" s="618"/>
      <c r="I111" s="118" t="s">
        <v>157</v>
      </c>
      <c r="J111" s="201">
        <f>'R-Avançado'!F29</f>
        <v>20</v>
      </c>
      <c r="K111" s="680"/>
      <c r="L111" s="681"/>
      <c r="M111" s="615"/>
      <c r="N111" s="126" t="s">
        <v>135</v>
      </c>
      <c r="O111" s="685">
        <f>E112*E114*J109/100</f>
        <v>0</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25">
      <c r="A112" s="570"/>
      <c r="B112" s="569"/>
      <c r="C112" s="511"/>
      <c r="D112" s="118" t="s">
        <v>158</v>
      </c>
      <c r="E112" s="200">
        <f>SUM(E107:E111)</f>
        <v>0</v>
      </c>
      <c r="F112" s="2151"/>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25">
      <c r="A113" s="570"/>
      <c r="B113" s="569"/>
      <c r="C113" s="615"/>
      <c r="D113" s="565"/>
      <c r="E113" s="616"/>
      <c r="F113" s="2151"/>
      <c r="G113" s="149"/>
      <c r="H113" s="149"/>
      <c r="I113" s="118" t="s">
        <v>160</v>
      </c>
      <c r="J113" s="150">
        <v>0</v>
      </c>
      <c r="K113" s="680"/>
      <c r="L113" s="681"/>
      <c r="M113" s="615"/>
      <c r="N113" s="126" t="s">
        <v>161</v>
      </c>
      <c r="O113" s="682">
        <f>E112*(1-J111/100)-O107-O108</f>
        <v>0</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25">
      <c r="A114" s="570"/>
      <c r="B114" s="569"/>
      <c r="C114" s="511"/>
      <c r="D114" s="118" t="s">
        <v>162</v>
      </c>
      <c r="E114" s="619">
        <f>IF(E112&gt;0,277.78*((D92*'R-Avançado'!E36+E92*'R-Avançado'!F36+F92*'R-Avançado'!G36+G92*'R-Avançado'!H36+H92*'R-Avançado'!I36+I92*'R-Avançado'!J36+J92*'R-Avançado'!K36+K92*'R-Avançado'!L36+L92*'R-Avançado'!M36+M92*'R-Avançado'!N36)/N92),0)</f>
        <v>0</v>
      </c>
      <c r="F114" s="2151"/>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25">
      <c r="A115" s="570"/>
      <c r="B115" s="569"/>
      <c r="C115" s="581"/>
      <c r="D115" s="561"/>
      <c r="E115" s="581"/>
      <c r="F115" s="2151"/>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25">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25">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25">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25">
      <c r="A119" s="570"/>
      <c r="B119" s="569"/>
      <c r="C119" s="511"/>
      <c r="D119" s="118" t="s">
        <v>164</v>
      </c>
      <c r="E119" s="200">
        <f>N94</f>
        <v>188.85240384615389</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25">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25">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25">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25">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25">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25">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25">
      <c r="A126" s="570"/>
      <c r="B126" s="569"/>
      <c r="C126" s="511"/>
      <c r="D126" s="118" t="s">
        <v>180</v>
      </c>
      <c r="E126" s="619">
        <f>D94*'R-Avançado'!E38+E94*'R-Avançado'!F38+F94*'R-Avançado'!G38+G94*'R-Avançado'!H38+H94*'R-Avançado'!I38+I94*'R-Avançado'!J38+J94*'R-Avançado'!K38+K94*'R-Avançado'!L38+L94*'R-Avançado'!M38+M94*'R-Avançado'!N38</f>
        <v>128.01322115384616</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25">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25">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25">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25">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 customHeight="1" x14ac:dyDescent="0.25">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 customHeight="1" x14ac:dyDescent="0.25">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 customHeight="1" x14ac:dyDescent="0.25">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 customHeight="1" x14ac:dyDescent="0.25">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 customHeight="1" x14ac:dyDescent="0.25">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 customHeight="1" x14ac:dyDescent="0.25">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 customHeight="1" x14ac:dyDescent="0.25">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25">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25">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25">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25">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25">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25">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25">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25">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25">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25">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25">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25">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25">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25">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64" customWidth="1"/>
    <col min="2" max="2" width="4.42578125" style="164" customWidth="1"/>
    <col min="3" max="3" width="8.42578125" style="164" customWidth="1"/>
    <col min="4" max="4" width="17.28515625" style="164" customWidth="1"/>
    <col min="5" max="6" width="18.42578125" style="164" customWidth="1"/>
    <col min="7" max="13" width="15.7109375" style="164" customWidth="1"/>
    <col min="14" max="14" width="17.28515625" style="164" customWidth="1"/>
    <col min="15" max="15" width="15.7109375" style="164" customWidth="1"/>
    <col min="16" max="16" width="3.42578125" style="164" customWidth="1"/>
  </cols>
  <sheetData>
    <row r="1" spans="1:21" s="956" customFormat="1" ht="15" customHeight="1" x14ac:dyDescent="0.25">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25">
      <c r="A2" s="164"/>
      <c r="B2" s="484"/>
      <c r="C2" s="207" t="s">
        <v>485</v>
      </c>
      <c r="D2" s="2171" t="str">
        <f>IF('R-Entrada'!D2&lt;&gt;0,'R-Entrada'!D2,"")</f>
        <v>CIRSOP - Consórcio RSU Oeste Paulista</v>
      </c>
      <c r="E2" s="2172"/>
      <c r="F2" s="484"/>
      <c r="G2" s="484"/>
      <c r="H2" s="484"/>
      <c r="I2" s="484"/>
      <c r="J2" s="484"/>
      <c r="K2" s="484"/>
      <c r="L2" s="484"/>
      <c r="M2" s="484"/>
      <c r="N2" s="484"/>
      <c r="O2" s="484"/>
      <c r="P2" s="484"/>
      <c r="Q2" s="484"/>
      <c r="R2" s="484"/>
      <c r="S2" s="484"/>
      <c r="T2" s="484"/>
      <c r="U2" s="484"/>
    </row>
    <row r="3" spans="1:21" s="956" customFormat="1" ht="15" customHeight="1" x14ac:dyDescent="0.25">
      <c r="A3" s="164"/>
      <c r="B3" s="484"/>
      <c r="C3" s="465" t="s">
        <v>486</v>
      </c>
      <c r="D3" s="2171" t="str">
        <f>IF('R-Entrada'!D3&lt;&gt;0,'R-Entrada'!D3,"")</f>
        <v>Biodigestão c/ Prod. E. Elétrica</v>
      </c>
      <c r="E3" s="2172"/>
      <c r="F3" s="484"/>
      <c r="G3" s="484"/>
      <c r="H3" s="484"/>
      <c r="I3" s="484"/>
      <c r="J3" s="484"/>
      <c r="K3" s="484"/>
      <c r="L3" s="484"/>
      <c r="M3" s="484"/>
      <c r="N3" s="484"/>
      <c r="O3" s="484"/>
      <c r="P3" s="484"/>
      <c r="Q3" s="484"/>
      <c r="R3" s="484"/>
      <c r="S3" s="484"/>
      <c r="T3" s="484"/>
      <c r="U3" s="484"/>
    </row>
    <row r="4" spans="1:21" ht="14.25" customHeight="1" x14ac:dyDescent="0.25">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25">
      <c r="A5" s="712"/>
      <c r="B5" s="203"/>
      <c r="C5" s="204" t="s">
        <v>534</v>
      </c>
      <c r="D5" s="203"/>
      <c r="E5" s="203"/>
      <c r="F5" s="203"/>
      <c r="G5" s="203"/>
      <c r="H5" s="203"/>
      <c r="I5" s="205"/>
      <c r="J5" s="727"/>
      <c r="K5" s="484"/>
      <c r="L5" s="484"/>
      <c r="M5" s="484"/>
      <c r="N5" s="2173" t="s">
        <v>473</v>
      </c>
      <c r="O5" s="2174"/>
      <c r="P5" s="484"/>
      <c r="Q5" s="484"/>
      <c r="R5" s="484"/>
      <c r="S5" s="484"/>
      <c r="T5" s="484"/>
      <c r="U5" s="484"/>
    </row>
    <row r="6" spans="1:21" ht="18.399999999999999" customHeight="1" x14ac:dyDescent="0.25">
      <c r="A6" s="484"/>
      <c r="B6" s="484"/>
      <c r="C6" s="484"/>
      <c r="D6" s="484"/>
      <c r="E6" s="484"/>
      <c r="F6" s="484"/>
      <c r="G6" s="484"/>
      <c r="H6" s="484"/>
      <c r="I6" s="484"/>
      <c r="J6" s="484"/>
      <c r="K6" s="484"/>
      <c r="L6" s="484"/>
      <c r="M6" s="484"/>
      <c r="N6" s="2126" t="str">
        <f>Apresentação!I2</f>
        <v>RC-RSU V.1.0 - 15/10/2020</v>
      </c>
      <c r="O6" s="2174"/>
      <c r="P6" s="484"/>
      <c r="Q6" s="484"/>
      <c r="R6" s="484"/>
      <c r="S6" s="484"/>
      <c r="T6" s="484"/>
      <c r="U6" s="484"/>
    </row>
    <row r="7" spans="1:21" ht="18" customHeight="1" x14ac:dyDescent="0.25">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25">
      <c r="A8" s="686"/>
      <c r="B8" s="1629"/>
      <c r="C8" s="1630"/>
      <c r="D8" s="714"/>
      <c r="E8" s="2188" t="s">
        <v>958</v>
      </c>
      <c r="F8" s="2189"/>
      <c r="G8" s="2189"/>
      <c r="H8" s="2190"/>
      <c r="I8" s="484"/>
      <c r="J8" s="2193"/>
      <c r="K8" s="2194"/>
      <c r="L8" s="2191" t="s">
        <v>186</v>
      </c>
      <c r="M8" s="2191" t="s">
        <v>535</v>
      </c>
      <c r="N8" s="484"/>
      <c r="O8" s="484"/>
      <c r="P8" s="484"/>
      <c r="Q8" s="484"/>
      <c r="R8" s="484"/>
      <c r="S8" s="484"/>
      <c r="T8" s="484"/>
      <c r="U8" s="484"/>
    </row>
    <row r="9" spans="1:21" ht="18" customHeight="1" x14ac:dyDescent="0.25">
      <c r="A9" s="484"/>
      <c r="B9" s="484"/>
      <c r="C9" s="484"/>
      <c r="D9" s="2199"/>
      <c r="E9" s="748" t="s">
        <v>25</v>
      </c>
      <c r="F9" s="2188" t="s">
        <v>959</v>
      </c>
      <c r="G9" s="2189"/>
      <c r="H9" s="2190"/>
      <c r="I9" s="484"/>
      <c r="J9" s="2195"/>
      <c r="K9" s="2196"/>
      <c r="L9" s="2192"/>
      <c r="M9" s="2192"/>
      <c r="N9" s="484"/>
      <c r="O9" s="484"/>
      <c r="P9" s="484"/>
      <c r="Q9" s="484"/>
      <c r="R9" s="484"/>
      <c r="S9" s="484"/>
      <c r="T9" s="484"/>
      <c r="U9" s="484"/>
    </row>
    <row r="10" spans="1:21" ht="18" customHeight="1" x14ac:dyDescent="0.25">
      <c r="A10" s="484"/>
      <c r="B10" s="484"/>
      <c r="C10" s="484"/>
      <c r="D10" s="2200"/>
      <c r="E10" s="1627" t="s">
        <v>730</v>
      </c>
      <c r="F10" s="517" t="s">
        <v>730</v>
      </c>
      <c r="G10" s="517" t="s">
        <v>731</v>
      </c>
      <c r="H10" s="517" t="s">
        <v>557</v>
      </c>
      <c r="I10" s="484"/>
      <c r="J10" s="2197"/>
      <c r="K10" s="2198"/>
      <c r="L10" s="2192"/>
      <c r="M10" s="2192"/>
      <c r="N10" s="484"/>
      <c r="O10" s="484"/>
      <c r="P10" s="484"/>
      <c r="Q10" s="484"/>
      <c r="R10" s="484"/>
      <c r="S10" s="484"/>
      <c r="T10" s="484"/>
      <c r="U10" s="484"/>
    </row>
    <row r="11" spans="1:21" ht="18" customHeight="1" x14ac:dyDescent="0.25">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1" t="s">
        <v>536</v>
      </c>
      <c r="K11" s="2181"/>
      <c r="L11" s="209">
        <v>2.5</v>
      </c>
      <c r="M11" s="209">
        <v>50</v>
      </c>
      <c r="N11" s="484"/>
      <c r="O11" s="484"/>
      <c r="P11" s="484"/>
      <c r="Q11" s="484"/>
      <c r="R11" s="484"/>
      <c r="S11" s="484"/>
      <c r="T11" s="484"/>
      <c r="U11" s="484"/>
    </row>
    <row r="12" spans="1:21" ht="18" customHeight="1" x14ac:dyDescent="0.25">
      <c r="A12" s="484"/>
      <c r="B12" s="484"/>
      <c r="C12" s="484"/>
      <c r="D12" s="1626" t="s">
        <v>177</v>
      </c>
      <c r="E12" s="209">
        <v>97.5</v>
      </c>
      <c r="F12" s="209">
        <v>50</v>
      </c>
      <c r="G12" s="209">
        <v>90</v>
      </c>
      <c r="H12" s="209">
        <v>70</v>
      </c>
      <c r="I12" s="484"/>
      <c r="J12" s="2181" t="s">
        <v>537</v>
      </c>
      <c r="K12" s="2181"/>
      <c r="L12" s="209">
        <v>27.5</v>
      </c>
      <c r="M12" s="209">
        <v>30</v>
      </c>
      <c r="N12" s="484"/>
      <c r="O12" s="484"/>
      <c r="P12" s="484"/>
      <c r="Q12" s="484"/>
      <c r="R12" s="484"/>
      <c r="S12" s="484"/>
      <c r="T12" s="484"/>
      <c r="U12" s="484"/>
    </row>
    <row r="13" spans="1:21" ht="18" customHeight="1" x14ac:dyDescent="0.25">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25">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25">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25">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25">
      <c r="A17" s="484"/>
      <c r="B17" s="484"/>
      <c r="C17" s="729"/>
      <c r="D17" s="2201" t="s">
        <v>191</v>
      </c>
      <c r="E17" s="514" t="s">
        <v>192</v>
      </c>
      <c r="F17" s="514" t="s">
        <v>999</v>
      </c>
      <c r="G17" s="484"/>
      <c r="H17" s="2203"/>
      <c r="I17" s="2203" t="s">
        <v>193</v>
      </c>
      <c r="J17" s="2153"/>
      <c r="K17" s="484"/>
      <c r="L17" s="2202" t="s">
        <v>744</v>
      </c>
      <c r="M17" s="2165"/>
      <c r="N17" s="484"/>
      <c r="O17" s="484"/>
      <c r="P17" s="484"/>
      <c r="Q17" s="484"/>
      <c r="R17" s="484"/>
      <c r="S17" s="484"/>
      <c r="T17" s="484"/>
      <c r="U17" s="484"/>
    </row>
    <row r="18" spans="1:21" ht="18" customHeight="1" x14ac:dyDescent="0.25">
      <c r="A18" s="484"/>
      <c r="B18" s="484"/>
      <c r="C18" s="729"/>
      <c r="D18" s="2153"/>
      <c r="E18" s="1712" t="s">
        <v>1062</v>
      </c>
      <c r="F18" s="1712" t="s">
        <v>998</v>
      </c>
      <c r="G18" s="484"/>
      <c r="H18" s="2153"/>
      <c r="I18" s="514" t="s">
        <v>189</v>
      </c>
      <c r="J18" s="717" t="s">
        <v>132</v>
      </c>
      <c r="K18" s="484"/>
      <c r="L18" s="2165"/>
      <c r="M18" s="2165"/>
      <c r="N18" s="484"/>
      <c r="O18" s="484"/>
      <c r="P18" s="484"/>
      <c r="Q18" s="484"/>
      <c r="R18" s="484"/>
      <c r="S18" s="484"/>
      <c r="T18" s="484"/>
      <c r="U18" s="484"/>
    </row>
    <row r="19" spans="1:21" ht="18" customHeight="1" x14ac:dyDescent="0.25">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25">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25">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25">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25">
      <c r="A23" s="484"/>
      <c r="B23" s="484"/>
      <c r="C23" s="484"/>
      <c r="D23" s="2179" t="s">
        <v>745</v>
      </c>
      <c r="E23" s="2180"/>
      <c r="F23" s="1584">
        <v>65</v>
      </c>
      <c r="G23" s="484"/>
      <c r="H23" s="484"/>
      <c r="I23" s="484"/>
      <c r="J23" s="484"/>
      <c r="K23" s="484"/>
      <c r="L23" s="484"/>
      <c r="M23" s="722"/>
      <c r="N23" s="720"/>
      <c r="O23" s="484"/>
      <c r="P23" s="484"/>
      <c r="Q23" s="484"/>
      <c r="R23" s="484"/>
      <c r="S23" s="484"/>
      <c r="T23" s="484"/>
      <c r="U23" s="484"/>
    </row>
    <row r="24" spans="1:21" ht="18" customHeight="1" x14ac:dyDescent="0.25">
      <c r="A24" s="484"/>
      <c r="B24" s="484"/>
      <c r="C24" s="484"/>
      <c r="D24" s="2179" t="s">
        <v>538</v>
      </c>
      <c r="E24" s="2180"/>
      <c r="F24" s="1584">
        <v>96.5</v>
      </c>
      <c r="G24" s="484"/>
      <c r="H24" s="484"/>
      <c r="I24" s="484"/>
      <c r="J24" s="484"/>
      <c r="K24" s="484"/>
      <c r="L24" s="484"/>
      <c r="M24" s="722"/>
      <c r="N24" s="720"/>
      <c r="O24" s="484"/>
      <c r="P24" s="484"/>
      <c r="Q24" s="484"/>
      <c r="R24" s="484"/>
      <c r="S24" s="484"/>
      <c r="T24" s="484"/>
      <c r="U24" s="484"/>
    </row>
    <row r="25" spans="1:21" ht="18" customHeight="1" x14ac:dyDescent="0.25">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25">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25">
      <c r="A27" s="484"/>
      <c r="B27" s="724"/>
      <c r="C27" s="2183"/>
      <c r="D27" s="2184"/>
      <c r="E27" s="2184"/>
      <c r="F27" s="340" t="s">
        <v>195</v>
      </c>
      <c r="G27" s="484"/>
      <c r="H27" s="2187" t="s">
        <v>539</v>
      </c>
      <c r="I27" s="2165"/>
      <c r="J27" s="2165"/>
      <c r="K27" s="484"/>
      <c r="L27" s="2182"/>
      <c r="M27" s="2153"/>
      <c r="N27" s="2153"/>
      <c r="O27" s="514" t="s">
        <v>289</v>
      </c>
      <c r="P27" s="484"/>
      <c r="Q27" s="484"/>
      <c r="R27" s="484"/>
      <c r="S27" s="484"/>
      <c r="T27" s="484"/>
      <c r="U27" s="484"/>
    </row>
    <row r="28" spans="1:21" ht="18" customHeight="1" x14ac:dyDescent="0.25">
      <c r="A28" s="484"/>
      <c r="B28" s="484"/>
      <c r="C28" s="2179" t="s">
        <v>746</v>
      </c>
      <c r="D28" s="2180"/>
      <c r="E28" s="2180"/>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25">
      <c r="A29" s="484"/>
      <c r="B29" s="484"/>
      <c r="C29" s="2179" t="s">
        <v>196</v>
      </c>
      <c r="D29" s="2180"/>
      <c r="E29" s="2180"/>
      <c r="F29" s="214">
        <v>20</v>
      </c>
      <c r="G29" s="484"/>
      <c r="H29" s="214">
        <v>50</v>
      </c>
      <c r="I29" s="214">
        <v>30</v>
      </c>
      <c r="J29" s="214">
        <v>10</v>
      </c>
      <c r="K29" s="484"/>
      <c r="L29" s="2185" t="s">
        <v>541</v>
      </c>
      <c r="M29" s="2186"/>
      <c r="N29" s="2186"/>
      <c r="O29" s="1585">
        <v>35</v>
      </c>
      <c r="P29" s="484"/>
      <c r="Q29" s="484"/>
      <c r="R29" s="484"/>
      <c r="S29" s="484"/>
      <c r="T29" s="484"/>
      <c r="U29" s="484"/>
    </row>
    <row r="30" spans="1:21" ht="18" customHeight="1" x14ac:dyDescent="0.25">
      <c r="A30" s="484"/>
      <c r="B30" s="484"/>
      <c r="C30" s="2179" t="s">
        <v>159</v>
      </c>
      <c r="D30" s="2180"/>
      <c r="E30" s="2180"/>
      <c r="F30" s="214">
        <v>90</v>
      </c>
      <c r="G30" s="484"/>
      <c r="H30" s="170"/>
      <c r="I30" s="213"/>
      <c r="J30" s="170"/>
      <c r="K30" s="484"/>
      <c r="L30" s="2185" t="s">
        <v>747</v>
      </c>
      <c r="M30" s="2186"/>
      <c r="N30" s="2186"/>
      <c r="O30" s="1586">
        <v>60</v>
      </c>
      <c r="P30" s="484"/>
      <c r="Q30" s="484"/>
      <c r="R30" s="484"/>
      <c r="S30" s="484"/>
      <c r="T30" s="484"/>
      <c r="U30" s="484"/>
    </row>
    <row r="31" spans="1:21" ht="18" customHeight="1" x14ac:dyDescent="0.25">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25">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25">
      <c r="A33" s="484"/>
      <c r="B33" s="2177"/>
      <c r="C33" s="2178"/>
      <c r="D33" s="2178"/>
      <c r="E33" s="2127" t="s">
        <v>198</v>
      </c>
      <c r="F33" s="2165"/>
      <c r="G33" s="2165"/>
      <c r="H33" s="2165"/>
      <c r="I33" s="2165"/>
      <c r="J33" s="2165"/>
      <c r="K33" s="2165"/>
      <c r="L33" s="2165"/>
      <c r="M33" s="2165"/>
      <c r="N33" s="2165"/>
      <c r="O33" s="484"/>
      <c r="P33" s="484"/>
      <c r="Q33" s="484"/>
      <c r="R33" s="484"/>
      <c r="S33" s="484"/>
      <c r="T33" s="484"/>
      <c r="U33" s="484"/>
    </row>
    <row r="34" spans="1:21" ht="18" customHeight="1" x14ac:dyDescent="0.25">
      <c r="A34" s="484"/>
      <c r="B34" s="2178"/>
      <c r="C34" s="2178"/>
      <c r="D34" s="2178"/>
      <c r="E34" s="2127" t="s">
        <v>25</v>
      </c>
      <c r="F34" s="2165"/>
      <c r="G34" s="2142" t="s">
        <v>49</v>
      </c>
      <c r="H34" s="2127" t="s">
        <v>475</v>
      </c>
      <c r="I34" s="2165"/>
      <c r="J34" s="2127" t="s">
        <v>476</v>
      </c>
      <c r="K34" s="2127" t="s">
        <v>52</v>
      </c>
      <c r="L34" s="2165"/>
      <c r="M34" s="2127" t="s">
        <v>477</v>
      </c>
      <c r="N34" s="2165"/>
      <c r="O34" s="484"/>
      <c r="P34" s="484"/>
      <c r="Q34" s="484"/>
      <c r="R34" s="484"/>
      <c r="S34" s="484"/>
      <c r="T34" s="484"/>
      <c r="U34" s="484"/>
    </row>
    <row r="35" spans="1:21" ht="18" customHeight="1" x14ac:dyDescent="0.25">
      <c r="A35" s="484"/>
      <c r="B35" s="2178"/>
      <c r="C35" s="2178"/>
      <c r="D35" s="2178"/>
      <c r="E35" s="499" t="s">
        <v>54</v>
      </c>
      <c r="F35" s="499" t="s">
        <v>479</v>
      </c>
      <c r="G35" s="2165"/>
      <c r="H35" s="499" t="s">
        <v>56</v>
      </c>
      <c r="I35" s="499" t="s">
        <v>57</v>
      </c>
      <c r="J35" s="2165"/>
      <c r="K35" s="499" t="s">
        <v>58</v>
      </c>
      <c r="L35" s="499" t="s">
        <v>510</v>
      </c>
      <c r="M35" s="499" t="s">
        <v>478</v>
      </c>
      <c r="N35" s="499" t="s">
        <v>509</v>
      </c>
      <c r="O35" s="484"/>
      <c r="P35" s="484"/>
      <c r="Q35" s="484"/>
      <c r="R35" s="484"/>
      <c r="S35" s="484"/>
      <c r="T35" s="484"/>
      <c r="U35" s="484"/>
    </row>
    <row r="36" spans="1:21" ht="18" customHeight="1" x14ac:dyDescent="0.25">
      <c r="A36" s="484"/>
      <c r="B36" s="2181" t="s">
        <v>480</v>
      </c>
      <c r="C36" s="2176"/>
      <c r="D36" s="2176"/>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25">
      <c r="A37" s="484"/>
      <c r="B37" s="2181" t="s">
        <v>748</v>
      </c>
      <c r="C37" s="2176"/>
      <c r="D37" s="2176"/>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25">
      <c r="A38" s="484"/>
      <c r="B38" s="2175" t="s">
        <v>831</v>
      </c>
      <c r="C38" s="2176"/>
      <c r="D38" s="2176"/>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25">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25">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25">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25">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25">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25">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25">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25">
      <c r="A46" s="484"/>
      <c r="B46" s="484"/>
      <c r="C46" s="484"/>
      <c r="D46" s="484"/>
      <c r="E46" s="484"/>
      <c r="F46" s="484"/>
      <c r="G46" s="484"/>
      <c r="H46" s="484"/>
      <c r="I46" s="484"/>
      <c r="J46" s="484"/>
      <c r="K46" s="484"/>
      <c r="L46" s="484"/>
      <c r="M46" s="484"/>
      <c r="N46" s="484"/>
      <c r="O46" s="484"/>
      <c r="P46" s="484"/>
      <c r="Q46" s="484"/>
    </row>
    <row r="47" spans="1:21" ht="14.25" customHeight="1" x14ac:dyDescent="0.25">
      <c r="A47" s="484"/>
      <c r="B47" s="484"/>
      <c r="C47" s="484"/>
      <c r="D47" s="484"/>
      <c r="E47" s="484"/>
      <c r="F47" s="484"/>
      <c r="G47" s="484"/>
      <c r="H47" s="484"/>
      <c r="I47" s="484"/>
      <c r="J47" s="484"/>
      <c r="K47" s="484"/>
      <c r="L47" s="484"/>
      <c r="M47" s="484"/>
      <c r="N47" s="484"/>
      <c r="O47" s="484"/>
      <c r="P47" s="484"/>
      <c r="Q47" s="484"/>
    </row>
    <row r="48" spans="1:21" ht="14.25" customHeight="1" x14ac:dyDescent="0.25">
      <c r="A48" s="484"/>
      <c r="B48" s="484"/>
      <c r="C48" s="484"/>
      <c r="D48" s="484"/>
      <c r="E48" s="484"/>
      <c r="F48" s="484"/>
      <c r="G48" s="484"/>
      <c r="H48" s="484"/>
      <c r="I48" s="484"/>
      <c r="J48" s="484"/>
      <c r="K48" s="484"/>
      <c r="L48" s="484"/>
      <c r="M48" s="484"/>
      <c r="N48" s="484"/>
      <c r="O48" s="484"/>
      <c r="P48" s="484"/>
      <c r="Q48" s="484"/>
    </row>
    <row r="49" spans="1:17" ht="14.25" customHeight="1" x14ac:dyDescent="0.25">
      <c r="A49" s="484"/>
      <c r="B49" s="484"/>
      <c r="C49" s="484"/>
      <c r="D49" s="484"/>
      <c r="E49" s="484"/>
      <c r="F49" s="484"/>
      <c r="G49" s="484"/>
      <c r="H49" s="484"/>
      <c r="I49" s="484"/>
      <c r="J49" s="484"/>
      <c r="K49" s="484"/>
      <c r="L49" s="484"/>
      <c r="M49" s="484"/>
      <c r="N49" s="484"/>
      <c r="O49" s="484"/>
      <c r="P49" s="484"/>
      <c r="Q49" s="484"/>
    </row>
    <row r="50" spans="1:17" ht="14.25" customHeight="1" x14ac:dyDescent="0.25">
      <c r="A50" s="484"/>
      <c r="B50" s="484"/>
      <c r="C50" s="484"/>
      <c r="D50" s="484"/>
      <c r="E50" s="484"/>
      <c r="F50" s="484"/>
      <c r="G50" s="484"/>
      <c r="H50" s="484"/>
      <c r="I50" s="484"/>
      <c r="J50" s="484"/>
      <c r="K50" s="484"/>
      <c r="L50" s="484"/>
      <c r="M50" s="484"/>
      <c r="N50" s="484"/>
      <c r="O50" s="484"/>
      <c r="P50" s="484"/>
      <c r="Q50" s="484"/>
    </row>
    <row r="51" spans="1:17" ht="14.25" customHeight="1" x14ac:dyDescent="0.25">
      <c r="A51" s="484"/>
      <c r="B51" s="484"/>
      <c r="C51" s="484"/>
      <c r="D51" s="484"/>
      <c r="E51" s="484"/>
      <c r="F51" s="484"/>
      <c r="G51" s="484"/>
      <c r="H51" s="484"/>
      <c r="I51" s="484"/>
      <c r="J51" s="484"/>
      <c r="K51" s="484"/>
      <c r="L51" s="484"/>
      <c r="M51" s="484"/>
      <c r="N51" s="484"/>
      <c r="O51" s="484"/>
      <c r="P51" s="484"/>
      <c r="Q51" s="484"/>
    </row>
    <row r="52" spans="1:17" ht="14.25" customHeight="1" x14ac:dyDescent="0.25">
      <c r="A52" s="484"/>
      <c r="B52" s="484"/>
      <c r="C52" s="484"/>
      <c r="D52" s="484"/>
      <c r="E52" s="484"/>
      <c r="F52" s="484"/>
      <c r="G52" s="484"/>
      <c r="H52" s="484"/>
      <c r="I52" s="484"/>
      <c r="J52" s="484"/>
      <c r="K52" s="484"/>
      <c r="L52" s="484"/>
      <c r="M52" s="484"/>
      <c r="N52" s="484"/>
      <c r="O52" s="484"/>
      <c r="P52" s="484"/>
      <c r="Q52" s="484"/>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64" customFormat="1" ht="24" customHeight="1" thickTop="1" x14ac:dyDescent="0.25">
      <c r="B1" s="2232" t="s">
        <v>834</v>
      </c>
      <c r="C1" s="2233"/>
      <c r="D1" s="2233"/>
      <c r="E1" s="2233"/>
      <c r="F1" s="2233"/>
      <c r="G1" s="2233"/>
      <c r="H1" s="2233"/>
      <c r="I1" s="2233"/>
      <c r="J1" s="2233"/>
      <c r="K1" s="2233"/>
      <c r="L1" s="2233"/>
      <c r="M1" s="2233"/>
      <c r="N1" s="2233"/>
      <c r="O1" s="2233"/>
      <c r="P1" s="2234"/>
      <c r="Q1" s="2234"/>
      <c r="R1" s="2219" t="s">
        <v>199</v>
      </c>
      <c r="S1" s="2220"/>
      <c r="T1" s="2220"/>
      <c r="U1" s="2220"/>
      <c r="V1" s="2225" t="str">
        <f>IF('R-Entrada'!D3&lt;&gt;0,'R-Entrada'!D3,"")</f>
        <v>Biodigestão c/ Prod. E. Elétrica</v>
      </c>
      <c r="W1" s="2226"/>
      <c r="X1" s="2226"/>
      <c r="Y1" s="2226"/>
      <c r="Z1" s="2226"/>
      <c r="AA1" s="2226"/>
      <c r="AB1" s="2227"/>
      <c r="AC1" s="2219" t="s">
        <v>4</v>
      </c>
      <c r="AD1" s="2220"/>
      <c r="AE1" s="2220"/>
      <c r="AF1" s="2220"/>
      <c r="AG1" s="2225" t="str">
        <f>IF('R-Entrada'!D2&lt;&gt;0,'R-Entrada'!D2,"")</f>
        <v>CIRSOP - Consórcio RSU Oeste Paulista</v>
      </c>
      <c r="AH1" s="2226"/>
      <c r="AI1" s="2226"/>
      <c r="AJ1" s="2226"/>
      <c r="AK1" s="2226"/>
      <c r="AL1" s="2226"/>
      <c r="AM1" s="2226"/>
      <c r="AN1" s="2226"/>
      <c r="AO1" s="2226"/>
      <c r="AP1" s="2226"/>
      <c r="AQ1" s="2226"/>
      <c r="AR1" s="2227"/>
      <c r="AS1" s="1026" t="s">
        <v>828</v>
      </c>
      <c r="AT1" s="1023"/>
      <c r="AV1" s="165"/>
    </row>
    <row r="2" spans="2:69" s="164" customFormat="1" ht="3" customHeight="1" x14ac:dyDescent="0.25">
      <c r="B2" s="2228"/>
      <c r="C2" s="2210"/>
      <c r="D2" s="2210"/>
      <c r="E2" s="2210"/>
      <c r="F2" s="2210"/>
      <c r="G2" s="2210"/>
      <c r="H2" s="2210"/>
      <c r="I2" s="2211"/>
      <c r="J2" s="166"/>
      <c r="K2" s="2223"/>
      <c r="L2" s="2210"/>
      <c r="M2" s="2210"/>
      <c r="N2" s="2210"/>
      <c r="O2" s="2210"/>
      <c r="P2" s="2210"/>
      <c r="Q2" s="2210"/>
      <c r="R2" s="2210"/>
      <c r="S2" s="2210"/>
      <c r="T2" s="2210"/>
      <c r="U2" s="2210"/>
      <c r="V2" s="2210"/>
      <c r="W2" s="2210"/>
      <c r="X2" s="2210"/>
      <c r="Y2" s="2210"/>
      <c r="Z2" s="2210"/>
      <c r="AA2" s="2210"/>
      <c r="AB2" s="2210"/>
      <c r="AC2" s="2210"/>
      <c r="AD2" s="2210"/>
      <c r="AE2" s="2210"/>
      <c r="AF2" s="2210"/>
      <c r="AG2" s="2210"/>
      <c r="AH2" s="2210"/>
      <c r="AI2" s="2210"/>
      <c r="AJ2" s="2211"/>
      <c r="AK2" s="2223"/>
      <c r="AL2" s="2210"/>
      <c r="AM2" s="2210"/>
      <c r="AN2" s="2210"/>
      <c r="AO2" s="2210"/>
      <c r="AP2" s="2210"/>
      <c r="AQ2" s="2210"/>
      <c r="AR2" s="2210"/>
      <c r="AS2" s="2210"/>
      <c r="AT2" s="2224"/>
      <c r="AU2" s="165"/>
    </row>
    <row r="3" spans="2:69" s="164" customFormat="1" ht="16.899999999999999" customHeight="1" x14ac:dyDescent="0.25">
      <c r="B3" s="167"/>
      <c r="C3" s="158">
        <f>'R-Entrada'!E14</f>
        <v>467.94871794871796</v>
      </c>
      <c r="D3" s="168"/>
      <c r="E3" s="2209" t="s">
        <v>200</v>
      </c>
      <c r="F3" s="2210"/>
      <c r="G3" s="2210"/>
      <c r="H3" s="2211"/>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 customHeight="1" x14ac:dyDescent="0.25">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899999999999999" customHeight="1" x14ac:dyDescent="0.25">
      <c r="B5" s="171"/>
      <c r="C5" s="158">
        <f>'R-Entrada'!E44</f>
        <v>0</v>
      </c>
      <c r="D5" s="166"/>
      <c r="E5" s="2209" t="s">
        <v>201</v>
      </c>
      <c r="F5" s="2210"/>
      <c r="G5" s="2210"/>
      <c r="H5" s="2211"/>
      <c r="I5" s="166"/>
      <c r="J5" s="166"/>
      <c r="K5" s="166"/>
      <c r="L5" s="166"/>
      <c r="M5" s="166"/>
      <c r="N5" s="166"/>
      <c r="O5" s="166"/>
      <c r="P5" s="166"/>
      <c r="Q5" s="166"/>
      <c r="R5" s="166"/>
      <c r="S5" s="166"/>
      <c r="T5" s="166"/>
      <c r="U5" s="166"/>
      <c r="V5" s="166"/>
      <c r="W5" s="166"/>
      <c r="X5" s="166"/>
      <c r="Y5" s="166"/>
      <c r="Z5" s="166"/>
      <c r="AA5" s="166"/>
      <c r="AB5" s="2229" t="s">
        <v>473</v>
      </c>
      <c r="AC5" s="2169"/>
      <c r="AD5" s="2169"/>
      <c r="AE5" s="2169"/>
      <c r="AF5" s="2169"/>
      <c r="AG5" s="2169"/>
      <c r="AH5" s="2169"/>
      <c r="AI5" s="2169"/>
      <c r="AJ5" s="2169"/>
      <c r="AK5" s="2169"/>
      <c r="AL5" s="166"/>
      <c r="AM5" s="166"/>
      <c r="AN5" s="166"/>
      <c r="AO5" s="166"/>
      <c r="AP5" s="166"/>
      <c r="AQ5" s="166"/>
      <c r="AR5" s="166"/>
      <c r="AS5" s="166"/>
      <c r="AT5" s="172"/>
      <c r="AU5" s="165"/>
      <c r="AV5" s="170"/>
      <c r="AW5" s="170"/>
      <c r="AX5" s="170"/>
      <c r="AY5" s="170"/>
      <c r="AZ5" s="170"/>
      <c r="BA5" s="170"/>
    </row>
    <row r="6" spans="2:69" s="164" customFormat="1" ht="1.9" customHeight="1" x14ac:dyDescent="0.25">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899999999999999" customHeight="1" x14ac:dyDescent="0.2">
      <c r="B7" s="171"/>
      <c r="C7" s="158">
        <f>'R-Entrada'!E45</f>
        <v>0</v>
      </c>
      <c r="D7" s="166"/>
      <c r="E7" s="2209" t="s">
        <v>59</v>
      </c>
      <c r="F7" s="2210"/>
      <c r="G7" s="2210"/>
      <c r="H7" s="2211"/>
      <c r="I7" s="166"/>
      <c r="J7" s="166"/>
      <c r="K7" s="166"/>
      <c r="L7" s="166"/>
      <c r="M7" s="166"/>
      <c r="N7" s="166"/>
      <c r="O7" s="166"/>
      <c r="P7" s="166"/>
      <c r="Q7" s="166"/>
      <c r="R7" s="166"/>
      <c r="S7" s="166"/>
      <c r="T7" s="166"/>
      <c r="U7" s="166"/>
      <c r="V7" s="166"/>
      <c r="W7" s="166"/>
      <c r="X7" s="166"/>
      <c r="Y7" s="166"/>
      <c r="Z7" s="166"/>
      <c r="AA7" s="166"/>
      <c r="AB7" s="2230" t="str">
        <f>Apresentação!I2</f>
        <v>RC-RSU V.1.0 - 15/10/2020</v>
      </c>
      <c r="AC7" s="2231"/>
      <c r="AD7" s="2231"/>
      <c r="AE7" s="2231"/>
      <c r="AF7" s="2231"/>
      <c r="AG7" s="2231"/>
      <c r="AH7" s="2231"/>
      <c r="AI7" s="2231"/>
      <c r="AJ7" s="2231"/>
      <c r="AK7" s="2231"/>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1499999999999999" customHeight="1" x14ac:dyDescent="0.25">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899999999999999" customHeight="1" x14ac:dyDescent="0.25">
      <c r="B9" s="171"/>
      <c r="C9" s="158">
        <f>'R-Entrada'!E46</f>
        <v>467.94871794871796</v>
      </c>
      <c r="D9" s="166"/>
      <c r="E9" s="2209" t="s">
        <v>202</v>
      </c>
      <c r="F9" s="2210"/>
      <c r="G9" s="2210"/>
      <c r="H9" s="2211"/>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 customHeight="1" x14ac:dyDescent="0.25">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899999999999999" customHeight="1" x14ac:dyDescent="0.25">
      <c r="B11" s="171"/>
      <c r="C11" s="158">
        <f>'R-Entrada'!E47</f>
        <v>467.94871794871796</v>
      </c>
      <c r="D11" s="166"/>
      <c r="E11" s="2221" t="s">
        <v>835</v>
      </c>
      <c r="F11" s="2222"/>
      <c r="G11" s="2222"/>
      <c r="H11" s="2222"/>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4" t="s">
        <v>203</v>
      </c>
      <c r="AP11" s="159"/>
      <c r="AQ11" s="2214" t="s">
        <v>204</v>
      </c>
      <c r="AR11" s="159"/>
      <c r="AS11" s="2214"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1500000000000004" customHeight="1" x14ac:dyDescent="0.25">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17"/>
      <c r="AP12" s="159"/>
      <c r="AQ12" s="2215"/>
      <c r="AR12" s="159"/>
      <c r="AS12" s="2215"/>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 customHeight="1" x14ac:dyDescent="0.25">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18"/>
      <c r="AP13" s="159"/>
      <c r="AQ13" s="2216"/>
      <c r="AR13" s="159"/>
      <c r="AS13" s="2216"/>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15" customHeight="1" x14ac:dyDescent="0.25">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899999999999999" customHeight="1" x14ac:dyDescent="0.25">
      <c r="B15" s="171"/>
      <c r="C15" s="160"/>
      <c r="D15" s="166"/>
      <c r="E15" s="166"/>
      <c r="F15" s="158">
        <f>'R-Resumo Bal. Massa'!D19</f>
        <v>0</v>
      </c>
      <c r="G15" s="166"/>
      <c r="H15" s="166"/>
      <c r="I15" s="2212" t="s">
        <v>832</v>
      </c>
      <c r="J15" s="2210"/>
      <c r="K15" s="2210"/>
      <c r="L15" s="2210"/>
      <c r="M15" s="2210"/>
      <c r="N15" s="2210"/>
      <c r="O15" s="2211"/>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000000000000004" customHeight="1" x14ac:dyDescent="0.25">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899999999999999" customHeight="1" x14ac:dyDescent="0.25">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25">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899999999999999" customHeight="1" x14ac:dyDescent="0.25">
      <c r="B19" s="171"/>
      <c r="C19" s="160"/>
      <c r="D19" s="166"/>
      <c r="E19" s="166"/>
      <c r="F19" s="158">
        <f>'R-Resumo Bal. Massa'!D20</f>
        <v>0</v>
      </c>
      <c r="G19" s="166"/>
      <c r="H19" s="166"/>
      <c r="I19" s="166"/>
      <c r="J19" s="166"/>
      <c r="K19" s="166"/>
      <c r="L19" s="2212" t="s">
        <v>833</v>
      </c>
      <c r="M19" s="2210"/>
      <c r="N19" s="2210"/>
      <c r="O19" s="2210"/>
      <c r="P19" s="2210"/>
      <c r="Q19" s="2210"/>
      <c r="R19" s="2211"/>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1500000000000004" customHeight="1" x14ac:dyDescent="0.25">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899999999999999" customHeight="1" x14ac:dyDescent="0.25">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1500000000000004" customHeight="1" x14ac:dyDescent="0.25">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899999999999999" customHeight="1" x14ac:dyDescent="0.25">
      <c r="B23" s="171"/>
      <c r="C23" s="160"/>
      <c r="D23" s="166"/>
      <c r="E23" s="166"/>
      <c r="F23" s="158">
        <f>'R-Resumo Bal. Massa'!D21</f>
        <v>467.94871794871801</v>
      </c>
      <c r="G23" s="166"/>
      <c r="H23" s="166"/>
      <c r="I23" s="166"/>
      <c r="J23" s="166"/>
      <c r="K23" s="166"/>
      <c r="L23" s="166"/>
      <c r="M23" s="166"/>
      <c r="N23" s="166"/>
      <c r="O23" s="166"/>
      <c r="P23" s="166"/>
      <c r="Q23" s="2212" t="s">
        <v>836</v>
      </c>
      <c r="R23" s="2210"/>
      <c r="S23" s="2210"/>
      <c r="T23" s="2210"/>
      <c r="U23" s="2210"/>
      <c r="V23" s="2210"/>
      <c r="W23" s="2211"/>
      <c r="X23" s="166"/>
      <c r="Y23" s="166"/>
      <c r="Z23" s="166"/>
      <c r="AA23" s="166"/>
      <c r="AB23" s="166"/>
      <c r="AC23" s="166"/>
      <c r="AD23" s="166"/>
      <c r="AE23" s="166"/>
      <c r="AF23" s="166"/>
      <c r="AG23" s="166"/>
      <c r="AH23" s="166"/>
      <c r="AI23" s="166"/>
      <c r="AJ23" s="166"/>
      <c r="AK23" s="166"/>
      <c r="AL23" s="166"/>
      <c r="AM23" s="166"/>
      <c r="AN23" s="159"/>
      <c r="AO23" s="158">
        <f>'R-Resumo Bal. Massa'!G64</f>
        <v>37.318910256410263</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15" customHeight="1" x14ac:dyDescent="0.25">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899999999999999" customHeight="1" x14ac:dyDescent="0.25">
      <c r="B25" s="171"/>
      <c r="C25" s="160"/>
      <c r="D25" s="166"/>
      <c r="E25" s="166"/>
      <c r="F25" s="166"/>
      <c r="G25" s="166"/>
      <c r="H25" s="166"/>
      <c r="I25" s="166"/>
      <c r="J25" s="2213">
        <f>F15+F19+F23-AO15-AO19-AO23-AS17-AS21-AS25-S25</f>
        <v>176.88461538461542</v>
      </c>
      <c r="K25" s="2207"/>
      <c r="L25" s="2207"/>
      <c r="M25" s="2208"/>
      <c r="N25" s="166"/>
      <c r="O25" s="166"/>
      <c r="P25" s="166"/>
      <c r="Q25" s="166"/>
      <c r="R25" s="166"/>
      <c r="S25" s="2206">
        <f>IF('R-Definição'!I29&lt;&gt;"Aterro sanitário",'R-Resumo Bal. Massa'!F22,0)</f>
        <v>204.44679487179491</v>
      </c>
      <c r="T25" s="2208"/>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49.298397435897442</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000000000000004" customHeight="1" x14ac:dyDescent="0.25">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899999999999999" customHeight="1" x14ac:dyDescent="0.25">
      <c r="B27" s="171"/>
      <c r="C27" s="166"/>
      <c r="D27" s="166"/>
      <c r="E27" s="166"/>
      <c r="F27" s="179"/>
      <c r="G27" s="166"/>
      <c r="H27" s="166"/>
      <c r="I27" s="166"/>
      <c r="J27" s="166"/>
      <c r="K27" s="166"/>
      <c r="L27" s="166"/>
      <c r="M27" s="166"/>
      <c r="N27" s="158">
        <f>'R-Resumo Bal. Massa'!D29-'R-Resumo Bal. Massa'!D28</f>
        <v>176.88461538461536</v>
      </c>
      <c r="O27" s="166"/>
      <c r="P27" s="166"/>
      <c r="Q27" s="166"/>
      <c r="R27" s="166"/>
      <c r="S27" s="166"/>
      <c r="T27" s="166"/>
      <c r="U27" s="166"/>
      <c r="V27" s="2206">
        <f>'R-Resumo Bal. Massa'!B25</f>
        <v>176.88461538461536</v>
      </c>
      <c r="W27" s="2208"/>
      <c r="X27" s="166"/>
      <c r="Y27" s="2235" t="s">
        <v>100</v>
      </c>
      <c r="Z27" s="2210"/>
      <c r="AA27" s="2210"/>
      <c r="AB27" s="2211"/>
      <c r="AC27" s="166"/>
      <c r="AD27" s="166"/>
      <c r="AE27" s="166"/>
      <c r="AF27" s="166"/>
      <c r="AG27" s="166"/>
      <c r="AH27" s="166"/>
      <c r="AI27" s="166"/>
      <c r="AJ27" s="166"/>
      <c r="AK27" s="166"/>
      <c r="AL27" s="166"/>
      <c r="AM27" s="166"/>
      <c r="AN27" s="159"/>
      <c r="AO27" s="158">
        <f>'R-Resumo Bal. Massa'!E29</f>
        <v>84.020192307692298</v>
      </c>
      <c r="AP27" s="159"/>
      <c r="AQ27" s="159"/>
      <c r="AR27" s="159"/>
      <c r="AS27" s="159"/>
      <c r="AT27" s="172"/>
      <c r="AU27" s="165"/>
      <c r="AW27" s="180"/>
    </row>
    <row r="28" spans="2:69" s="164" customFormat="1" ht="3" customHeight="1" x14ac:dyDescent="0.25">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899999999999999" customHeight="1" x14ac:dyDescent="0.25">
      <c r="B29" s="171"/>
      <c r="C29" s="166"/>
      <c r="D29" s="166"/>
      <c r="E29" s="166"/>
      <c r="F29" s="159"/>
      <c r="G29" s="166"/>
      <c r="H29" s="166"/>
      <c r="I29" s="166"/>
      <c r="J29" s="166"/>
      <c r="K29" s="166"/>
      <c r="L29" s="166"/>
      <c r="M29" s="166"/>
      <c r="N29" s="166"/>
      <c r="O29" s="166"/>
      <c r="P29" s="166"/>
      <c r="Q29" s="166"/>
      <c r="R29" s="166"/>
      <c r="S29" s="2206">
        <f>'R-Definição'!E59</f>
        <v>204.44679487179491</v>
      </c>
      <c r="T29" s="2208"/>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4.4221153846153838</v>
      </c>
      <c r="AR29" s="159"/>
      <c r="AS29" s="159"/>
      <c r="AT29" s="172"/>
      <c r="AU29" s="165"/>
    </row>
    <row r="30" spans="2:69" s="164" customFormat="1" ht="6" customHeight="1" x14ac:dyDescent="0.25">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899999999999999" customHeight="1" x14ac:dyDescent="0.25">
      <c r="B31" s="171"/>
      <c r="C31" s="166"/>
      <c r="D31" s="166"/>
      <c r="E31" s="166"/>
      <c r="F31" s="166"/>
      <c r="G31" s="166"/>
      <c r="H31" s="166"/>
      <c r="I31" s="166"/>
      <c r="J31" s="2206">
        <f>SUM('R-Resumo Bal. Massa'!D40:D42)</f>
        <v>0</v>
      </c>
      <c r="K31" s="2207"/>
      <c r="L31" s="2207"/>
      <c r="M31" s="2208"/>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88.442307692307679</v>
      </c>
      <c r="AT31" s="172"/>
      <c r="AU31" s="165"/>
      <c r="AV31" s="180"/>
    </row>
    <row r="32" spans="2:69" s="164" customFormat="1" ht="4.1500000000000004" customHeight="1" x14ac:dyDescent="0.25">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899999999999999" customHeight="1" x14ac:dyDescent="0.25">
      <c r="B33" s="171"/>
      <c r="C33" s="166"/>
      <c r="D33" s="166"/>
      <c r="E33" s="166"/>
      <c r="F33" s="158">
        <f>'R-Resumo Bal. Massa'!D14</f>
        <v>0</v>
      </c>
      <c r="G33" s="166"/>
      <c r="H33" s="166"/>
      <c r="I33" s="166"/>
      <c r="J33" s="166"/>
      <c r="K33" s="166"/>
      <c r="L33" s="166"/>
      <c r="M33" s="166"/>
      <c r="N33" s="166"/>
      <c r="O33" s="166"/>
      <c r="P33" s="166"/>
      <c r="Q33" s="166"/>
      <c r="R33" s="166"/>
      <c r="S33" s="2206">
        <f>'R-Resumo Bal. Massa'!D36</f>
        <v>204.44679487179491</v>
      </c>
      <c r="T33" s="2208"/>
      <c r="U33" s="166"/>
      <c r="V33" s="166"/>
      <c r="W33" s="166"/>
      <c r="X33" s="166"/>
      <c r="Y33" s="2206">
        <f>'R-Definição'!E60*'R-Definição'!J59/100</f>
        <v>0</v>
      </c>
      <c r="Z33" s="2208"/>
      <c r="AA33" s="166"/>
      <c r="AB33" s="2238" t="s">
        <v>115</v>
      </c>
      <c r="AC33" s="2239"/>
      <c r="AD33" s="2239"/>
      <c r="AE33" s="2239"/>
      <c r="AF33" s="2240"/>
      <c r="AG33" s="166"/>
      <c r="AH33" s="166"/>
      <c r="AI33" s="166"/>
      <c r="AJ33" s="166"/>
      <c r="AK33" s="166"/>
      <c r="AL33" s="166"/>
      <c r="AM33" s="166"/>
      <c r="AN33" s="159"/>
      <c r="AO33" s="159"/>
      <c r="AP33" s="159"/>
      <c r="AQ33" s="158">
        <f>'R-Definição'!O62*'R-Definição'!F63</f>
        <v>0</v>
      </c>
      <c r="AR33" s="159"/>
      <c r="AS33" s="159"/>
      <c r="AT33" s="172"/>
      <c r="AU33" s="165"/>
      <c r="AV33" s="181"/>
      <c r="AW33" s="182"/>
      <c r="AX33" s="181"/>
      <c r="AY33" s="182"/>
    </row>
    <row r="34" spans="2:53" s="164" customFormat="1" ht="7.15" customHeight="1" x14ac:dyDescent="0.25">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 customHeight="1" x14ac:dyDescent="0.25">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06">
        <f>'R-Definição'!J68</f>
        <v>0</v>
      </c>
      <c r="AE35" s="2208"/>
      <c r="AF35" s="166"/>
      <c r="AG35" s="166"/>
      <c r="AH35" s="166"/>
      <c r="AI35" s="166"/>
      <c r="AJ35" s="166"/>
      <c r="AK35" s="166"/>
      <c r="AL35" s="166"/>
      <c r="AM35" s="166"/>
      <c r="AN35" s="159"/>
      <c r="AO35" s="159"/>
      <c r="AP35" s="159"/>
      <c r="AQ35" s="159"/>
      <c r="AR35" s="159"/>
      <c r="AS35" s="159"/>
      <c r="AT35" s="172"/>
      <c r="AU35" s="165"/>
      <c r="AV35" s="180"/>
      <c r="AW35" s="183"/>
    </row>
    <row r="36" spans="2:53" s="164" customFormat="1" ht="7.15" customHeight="1" x14ac:dyDescent="0.25">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25">
      <c r="B37" s="171"/>
      <c r="C37" s="166"/>
      <c r="D37" s="166"/>
      <c r="E37" s="166"/>
      <c r="F37" s="166"/>
      <c r="G37" s="166"/>
      <c r="H37" s="166"/>
      <c r="I37" s="166"/>
      <c r="J37" s="166"/>
      <c r="K37" s="166"/>
      <c r="L37" s="166"/>
      <c r="M37" s="166"/>
      <c r="N37" s="166"/>
      <c r="O37" s="166"/>
      <c r="P37" s="184"/>
      <c r="Q37" s="166"/>
      <c r="R37" s="166"/>
      <c r="S37" s="2206">
        <f>'R-Resumo Bal. Massa'!D35</f>
        <v>204.44679487179491</v>
      </c>
      <c r="T37" s="2208"/>
      <c r="U37" s="166"/>
      <c r="V37" s="166"/>
      <c r="W37" s="166"/>
      <c r="X37" s="166"/>
      <c r="Y37" s="166"/>
      <c r="Z37" s="166"/>
      <c r="AA37" s="166"/>
      <c r="AB37" s="166"/>
      <c r="AC37" s="166"/>
      <c r="AD37" s="2235" t="s">
        <v>132</v>
      </c>
      <c r="AE37" s="2210"/>
      <c r="AF37" s="2210"/>
      <c r="AG37" s="2211"/>
      <c r="AH37" s="166"/>
      <c r="AI37" s="166"/>
      <c r="AJ37" s="166"/>
      <c r="AK37" s="166"/>
      <c r="AL37" s="166"/>
      <c r="AM37" s="166"/>
      <c r="AN37" s="159"/>
      <c r="AO37" s="158">
        <f>'R-Resumo Bal. Massa'!F36-'R-Resumo Bal. Massa'!F33</f>
        <v>92.001057692307697</v>
      </c>
      <c r="AP37" s="159"/>
      <c r="AQ37" s="159"/>
      <c r="AR37" s="159"/>
      <c r="AS37" s="159"/>
      <c r="AT37" s="172"/>
      <c r="AU37" s="165"/>
      <c r="AV37" s="181"/>
      <c r="AW37" s="182"/>
    </row>
    <row r="38" spans="2:53" s="164" customFormat="1" ht="7.15" customHeight="1" x14ac:dyDescent="0.25">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899999999999999" customHeight="1" x14ac:dyDescent="0.25">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61.334038461538469</v>
      </c>
      <c r="AR39" s="159"/>
      <c r="AS39" s="159"/>
      <c r="AT39" s="172"/>
      <c r="AU39" s="165"/>
      <c r="AV39" s="181"/>
      <c r="AW39" s="182"/>
    </row>
    <row r="40" spans="2:53" s="164" customFormat="1" ht="7.15" customHeight="1" x14ac:dyDescent="0.25">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899999999999999" customHeight="1" x14ac:dyDescent="0.25">
      <c r="B41" s="171"/>
      <c r="C41" s="166"/>
      <c r="D41" s="166"/>
      <c r="E41" s="166"/>
      <c r="F41" s="166"/>
      <c r="G41" s="166"/>
      <c r="H41" s="166"/>
      <c r="I41" s="166"/>
      <c r="J41" s="166"/>
      <c r="K41" s="166"/>
      <c r="L41" s="166"/>
      <c r="M41" s="166"/>
      <c r="N41" s="166"/>
      <c r="O41" s="166"/>
      <c r="P41" s="166"/>
      <c r="Q41" s="166"/>
      <c r="R41" s="166"/>
      <c r="S41" s="166"/>
      <c r="T41" s="2206">
        <f>'R-Resumo Bal. Massa'!D43</f>
        <v>0</v>
      </c>
      <c r="U41" s="2208"/>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51.111698717948727</v>
      </c>
      <c r="AT41" s="172"/>
      <c r="AV41" s="185"/>
      <c r="AW41" s="182"/>
      <c r="AX41" s="181"/>
      <c r="AY41" s="182"/>
      <c r="AZ41" s="181"/>
      <c r="BA41" s="182"/>
    </row>
    <row r="42" spans="2:53" s="164" customFormat="1" ht="4.1500000000000004" customHeight="1" x14ac:dyDescent="0.25">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899999999999999" customHeight="1" x14ac:dyDescent="0.25">
      <c r="B43" s="171"/>
      <c r="C43" s="166"/>
      <c r="D43" s="166"/>
      <c r="E43" s="166"/>
      <c r="F43" s="158">
        <f>'R-Resumo Bal. Massa'!D39</f>
        <v>0</v>
      </c>
      <c r="G43" s="166"/>
      <c r="H43" s="166"/>
      <c r="I43" s="166"/>
      <c r="J43" s="2206">
        <f>SUM('R-Resumo Bal. Massa'!D39:D42)</f>
        <v>0</v>
      </c>
      <c r="K43" s="2207"/>
      <c r="L43" s="2207"/>
      <c r="M43" s="2208"/>
      <c r="N43" s="166"/>
      <c r="O43" s="166"/>
      <c r="P43" s="166"/>
      <c r="Q43" s="166"/>
      <c r="R43" s="166"/>
      <c r="S43" s="166"/>
      <c r="T43" s="2206">
        <f>'R-Resumo Bal. Massa'!D44</f>
        <v>0</v>
      </c>
      <c r="U43" s="2208"/>
      <c r="V43" s="166"/>
      <c r="W43" s="166"/>
      <c r="X43" s="166"/>
      <c r="Y43" s="166"/>
      <c r="Z43" s="166"/>
      <c r="AA43" s="166"/>
      <c r="AB43" s="166"/>
      <c r="AC43" s="166"/>
      <c r="AD43" s="166"/>
      <c r="AE43" s="166"/>
      <c r="AF43" s="166"/>
      <c r="AG43" s="733"/>
      <c r="AH43" s="2235" t="s">
        <v>205</v>
      </c>
      <c r="AI43" s="2236"/>
      <c r="AJ43" s="2236"/>
      <c r="AK43" s="2237"/>
      <c r="AL43" s="166"/>
      <c r="AM43" s="166"/>
      <c r="AN43" s="159"/>
      <c r="AO43" s="158">
        <f>'R-Resumo Bal. Massa'!E44</f>
        <v>0</v>
      </c>
      <c r="AP43" s="159"/>
      <c r="AQ43" s="159"/>
      <c r="AR43" s="159"/>
      <c r="AS43" s="159"/>
      <c r="AT43" s="172"/>
      <c r="AV43" s="181"/>
      <c r="AW43" s="182"/>
      <c r="AX43" s="181"/>
      <c r="AY43" s="182"/>
    </row>
    <row r="44" spans="2:53" s="164" customFormat="1" ht="7.15" customHeight="1" x14ac:dyDescent="0.25">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899999999999999" customHeight="1" x14ac:dyDescent="0.25">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0</v>
      </c>
      <c r="AR45" s="159"/>
      <c r="AS45" s="159"/>
      <c r="AT45" s="172"/>
    </row>
    <row r="46" spans="2:53" s="164" customFormat="1" ht="7.15" customHeight="1" x14ac:dyDescent="0.25">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899999999999999" customHeight="1" x14ac:dyDescent="0.25">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0</v>
      </c>
      <c r="AT47" s="172"/>
    </row>
    <row r="48" spans="2:53" s="164" customFormat="1" ht="9.75" customHeight="1" x14ac:dyDescent="0.25">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25">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25">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899999999999999" customHeight="1" x14ac:dyDescent="0.25">
      <c r="B51" s="171"/>
      <c r="C51" s="166"/>
      <c r="D51" s="166"/>
      <c r="E51" s="166"/>
      <c r="F51" s="219"/>
      <c r="G51" s="219"/>
      <c r="H51" s="220" t="s">
        <v>206</v>
      </c>
      <c r="I51" s="2204">
        <f>'R-Definição'!E126</f>
        <v>128.01322115384616</v>
      </c>
      <c r="J51" s="2205"/>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213.34016025641026</v>
      </c>
      <c r="AP51" s="162"/>
      <c r="AQ51" s="1025">
        <f>AQ29+AQ33+AQ39+AQ45</f>
        <v>65.75615384615385</v>
      </c>
      <c r="AR51" s="162"/>
      <c r="AS51" s="1025">
        <f>'R-Resumo Bal. Massa'!D53</f>
        <v>188.85240384615383</v>
      </c>
      <c r="AT51" s="172"/>
      <c r="AU51" s="180"/>
      <c r="AV51" s="180"/>
    </row>
    <row r="52" spans="2:49" s="164" customFormat="1" ht="4.1500000000000004" customHeight="1" x14ac:dyDescent="0.25">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899999999999999" customHeight="1" x14ac:dyDescent="0.25">
      <c r="B53" s="171"/>
      <c r="C53" s="166"/>
      <c r="D53" s="219"/>
      <c r="E53" s="219"/>
      <c r="F53" s="219"/>
      <c r="G53" s="219"/>
      <c r="H53" s="220" t="s">
        <v>209</v>
      </c>
      <c r="I53" s="2204" t="str">
        <f>IF('R-Definição'!O124&gt;0,'R-Definição'!O124,"Não")</f>
        <v>Não</v>
      </c>
      <c r="J53" s="2205"/>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45.6</v>
      </c>
      <c r="AP53" s="163"/>
      <c r="AQ53" s="1024">
        <f>IF(C11&lt;&gt;0,ROUND(100-AO53-AS53,1),0)</f>
        <v>14</v>
      </c>
      <c r="AR53" s="163"/>
      <c r="AS53" s="1024">
        <f>IF(C11&lt;&gt;0,ROUND(AS51/(AO51+AQ51+AS51)*100,1),0)</f>
        <v>40.4</v>
      </c>
      <c r="AT53" s="172"/>
      <c r="AU53" s="189"/>
      <c r="AV53" s="180"/>
    </row>
    <row r="54" spans="2:49" s="164" customFormat="1" ht="8.65" customHeight="1" x14ac:dyDescent="0.25">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25">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25">
      <c r="A4" s="3"/>
      <c r="B4" s="64"/>
      <c r="C4" s="64"/>
      <c r="D4" s="64"/>
      <c r="E4" s="64"/>
      <c r="F4" s="64"/>
      <c r="G4" s="64"/>
      <c r="H4" s="64"/>
      <c r="I4" s="3"/>
      <c r="J4" s="2244"/>
      <c r="K4" s="2135"/>
      <c r="L4" s="3"/>
      <c r="M4" s="3"/>
      <c r="N4" s="3"/>
      <c r="O4" s="3"/>
      <c r="P4" s="3"/>
      <c r="Q4" s="3"/>
      <c r="R4" s="3"/>
      <c r="S4" s="3"/>
      <c r="T4" s="3"/>
    </row>
    <row r="5" spans="1:20" ht="25.9" customHeight="1" x14ac:dyDescent="0.25">
      <c r="A5" s="3"/>
      <c r="B5" s="100"/>
      <c r="C5" s="204" t="s">
        <v>543</v>
      </c>
      <c r="D5" s="100"/>
      <c r="E5" s="100"/>
      <c r="F5" s="100"/>
      <c r="G5" s="100"/>
      <c r="H5" s="100"/>
      <c r="I5" s="3"/>
      <c r="J5" s="2246" t="s">
        <v>473</v>
      </c>
      <c r="K5" s="2169"/>
      <c r="L5" s="2169"/>
      <c r="M5" s="3"/>
      <c r="N5" s="3"/>
      <c r="O5" s="3"/>
      <c r="P5" s="3"/>
      <c r="Q5" s="3"/>
      <c r="R5" s="3"/>
      <c r="S5" s="3"/>
      <c r="T5" s="3"/>
    </row>
    <row r="6" spans="1:20" ht="18" customHeight="1" x14ac:dyDescent="0.25">
      <c r="A6" s="3"/>
      <c r="B6" s="64"/>
      <c r="C6" s="64"/>
      <c r="D6" s="64"/>
      <c r="E6" s="64"/>
      <c r="F6" s="64"/>
      <c r="G6" s="64"/>
      <c r="H6" s="64"/>
      <c r="I6" s="3"/>
      <c r="J6" s="2126" t="str">
        <f>Apresentação!I2</f>
        <v>RC-RSU V.1.0 - 15/10/2020</v>
      </c>
      <c r="K6" s="2245"/>
      <c r="L6" s="2245"/>
      <c r="M6" s="3"/>
      <c r="N6" s="3"/>
      <c r="O6" s="3"/>
      <c r="P6" s="3"/>
      <c r="Q6" s="3"/>
      <c r="R6" s="3"/>
      <c r="S6" s="3"/>
      <c r="T6" s="3"/>
    </row>
    <row r="7" spans="1:20" ht="18" customHeight="1" x14ac:dyDescent="0.25">
      <c r="A7" s="3"/>
      <c r="B7" s="2127" t="s">
        <v>544</v>
      </c>
      <c r="C7" s="2165"/>
      <c r="D7" s="2165"/>
      <c r="E7" s="2165"/>
      <c r="F7" s="2165"/>
      <c r="G7" s="2165"/>
      <c r="H7" s="2165"/>
      <c r="I7" s="3"/>
      <c r="J7" s="734"/>
      <c r="K7" s="734"/>
      <c r="L7" s="734"/>
      <c r="M7" s="3"/>
      <c r="N7" s="3"/>
      <c r="O7" s="3"/>
      <c r="P7" s="3"/>
      <c r="Q7" s="3"/>
      <c r="R7" s="3"/>
      <c r="S7" s="3"/>
      <c r="T7" s="3"/>
    </row>
    <row r="8" spans="1:20" ht="18" customHeight="1" x14ac:dyDescent="0.25">
      <c r="A8" s="3"/>
      <c r="B8" s="2142" t="s">
        <v>210</v>
      </c>
      <c r="C8" s="2142" t="s">
        <v>211</v>
      </c>
      <c r="D8" s="2127" t="s">
        <v>212</v>
      </c>
      <c r="E8" s="2142" t="s">
        <v>213</v>
      </c>
      <c r="F8" s="2128"/>
      <c r="G8" s="2128"/>
      <c r="H8" s="2128"/>
      <c r="I8" s="3"/>
      <c r="J8" s="3"/>
      <c r="K8" s="3"/>
      <c r="L8" s="3"/>
      <c r="M8" s="3"/>
      <c r="N8" s="3"/>
      <c r="O8" s="3"/>
      <c r="P8" s="14"/>
      <c r="Q8" s="3"/>
      <c r="R8" s="3"/>
      <c r="S8" s="3"/>
      <c r="T8" s="3"/>
    </row>
    <row r="9" spans="1:20" ht="18" customHeight="1" x14ac:dyDescent="0.25">
      <c r="A9" s="7"/>
      <c r="B9" s="2128"/>
      <c r="C9" s="2128"/>
      <c r="D9" s="2128"/>
      <c r="E9" s="2142" t="s">
        <v>214</v>
      </c>
      <c r="F9" s="2259" t="s">
        <v>25</v>
      </c>
      <c r="G9" s="2127" t="s">
        <v>215</v>
      </c>
      <c r="H9" s="2142" t="s">
        <v>216</v>
      </c>
      <c r="I9" s="7"/>
      <c r="J9" s="7"/>
      <c r="K9" s="7"/>
      <c r="L9" s="7"/>
      <c r="M9" s="7"/>
      <c r="N9" s="7"/>
      <c r="O9" s="7"/>
      <c r="P9" s="3"/>
      <c r="Q9" s="3"/>
      <c r="R9" s="7"/>
      <c r="S9" s="3"/>
      <c r="T9" s="3"/>
    </row>
    <row r="10" spans="1:20" ht="18" customHeight="1" x14ac:dyDescent="0.25">
      <c r="A10" s="7"/>
      <c r="B10" s="2128"/>
      <c r="C10" s="2128"/>
      <c r="D10" s="2128"/>
      <c r="E10" s="2128"/>
      <c r="F10" s="2128"/>
      <c r="G10" s="2128"/>
      <c r="H10" s="2128"/>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36"/>
      <c r="C12" s="748" t="s">
        <v>217</v>
      </c>
      <c r="D12" s="735"/>
      <c r="E12" s="4"/>
      <c r="F12" s="10"/>
      <c r="G12" s="4"/>
      <c r="H12" s="17"/>
      <c r="I12" s="7"/>
      <c r="J12" s="7"/>
      <c r="K12" s="7"/>
      <c r="L12" s="7"/>
      <c r="M12" s="7"/>
      <c r="N12" s="7"/>
      <c r="O12" s="7"/>
      <c r="P12" s="3"/>
      <c r="Q12" s="3"/>
      <c r="R12" s="7"/>
      <c r="S12" s="3"/>
      <c r="T12" s="3"/>
    </row>
    <row r="13" spans="1:20" ht="18" customHeight="1" x14ac:dyDescent="0.25">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25">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25">
      <c r="A15" s="7"/>
      <c r="B15" s="737"/>
      <c r="C15" s="744" t="s">
        <v>474</v>
      </c>
      <c r="D15" s="223">
        <f>'R-Definição'!N15</f>
        <v>467.94871794871801</v>
      </c>
      <c r="E15" s="6"/>
      <c r="F15" s="4"/>
      <c r="G15" s="4"/>
      <c r="H15" s="27"/>
      <c r="I15" s="17"/>
      <c r="J15" s="12"/>
      <c r="K15" s="18"/>
      <c r="L15" s="3"/>
      <c r="M15" s="7"/>
      <c r="N15" s="7"/>
      <c r="O15" s="7"/>
      <c r="P15" s="3"/>
      <c r="Q15" s="3"/>
      <c r="R15" s="7"/>
      <c r="S15" s="3"/>
      <c r="T15" s="3"/>
    </row>
    <row r="16" spans="1:20" ht="18" customHeight="1" x14ac:dyDescent="0.25">
      <c r="A16" s="7"/>
      <c r="B16" s="736"/>
      <c r="C16" s="746" t="s">
        <v>53</v>
      </c>
      <c r="D16" s="740">
        <f>'R-Definição'!N16</f>
        <v>467.94871794871801</v>
      </c>
      <c r="E16" s="14"/>
      <c r="F16" s="28"/>
      <c r="G16" s="29"/>
      <c r="H16" s="7"/>
      <c r="I16" s="30"/>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25">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25">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25">
      <c r="A21" s="3"/>
      <c r="B21" s="738">
        <f>D21</f>
        <v>467.94871794871801</v>
      </c>
      <c r="C21" s="510" t="s">
        <v>751</v>
      </c>
      <c r="D21" s="223">
        <f>IF('R-Definição'!$I$24="Sim",'R-Definição'!$I$27,0)</f>
        <v>467.94871794871801</v>
      </c>
      <c r="E21" s="223">
        <f>'R-Definição'!O30</f>
        <v>37.318910256410263</v>
      </c>
      <c r="F21" s="223">
        <f>'R-Definição'!L32</f>
        <v>204.44679487179491</v>
      </c>
      <c r="G21" s="223">
        <f>SUM('R-Definição'!O34:'R-Definição'!O35)</f>
        <v>226.18301282051283</v>
      </c>
      <c r="H21" s="21"/>
      <c r="I21" s="3"/>
      <c r="J21" s="3"/>
      <c r="K21" s="3"/>
      <c r="L21" s="3"/>
      <c r="M21" s="7"/>
      <c r="N21" s="7"/>
      <c r="O21" s="7"/>
      <c r="P21" s="7"/>
      <c r="Q21" s="7"/>
      <c r="R21" s="3"/>
      <c r="S21" s="3"/>
      <c r="T21" s="3"/>
    </row>
    <row r="22" spans="1:20" ht="18" customHeight="1" x14ac:dyDescent="0.25">
      <c r="A22" s="3"/>
      <c r="B22" s="745"/>
      <c r="C22" s="746" t="s">
        <v>218</v>
      </c>
      <c r="D22" s="740">
        <f>SUM(D19:D21)</f>
        <v>467.94871794871801</v>
      </c>
      <c r="E22" s="224">
        <f>SUM(E19:E21)</f>
        <v>37.318910256410263</v>
      </c>
      <c r="F22" s="224">
        <f>SUM(F19:F21)</f>
        <v>204.44679487179491</v>
      </c>
      <c r="G22" s="224">
        <f>SUM(G19:G21)</f>
        <v>226.18301282051283</v>
      </c>
      <c r="H22" s="21"/>
      <c r="I22" s="3"/>
      <c r="J22" s="3"/>
      <c r="K22" s="3"/>
      <c r="L22" s="3"/>
      <c r="M22" s="3"/>
      <c r="N22" s="3"/>
      <c r="O22" s="3"/>
      <c r="P22" s="3"/>
      <c r="Q22" s="3"/>
      <c r="R22" s="3"/>
      <c r="S22" s="3"/>
      <c r="T22" s="3"/>
    </row>
    <row r="23" spans="1:20" ht="18" customHeight="1" x14ac:dyDescent="0.25">
      <c r="A23" s="3"/>
      <c r="B23" s="3"/>
      <c r="C23" s="3"/>
      <c r="D23" s="31"/>
      <c r="E23" s="3"/>
      <c r="F23" s="3"/>
      <c r="G23" s="3"/>
      <c r="H23" s="3"/>
      <c r="I23" s="3"/>
      <c r="J23" s="3"/>
      <c r="K23" s="3"/>
      <c r="L23" s="3"/>
      <c r="M23" s="3"/>
      <c r="N23" s="3"/>
      <c r="O23" s="3"/>
      <c r="P23" s="3"/>
      <c r="Q23" s="3"/>
      <c r="R23" s="3"/>
      <c r="S23" s="3"/>
      <c r="T23" s="3"/>
    </row>
    <row r="24" spans="1:20" ht="18" customHeight="1" x14ac:dyDescent="0.25">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25">
      <c r="A25" s="3"/>
      <c r="B25" s="2247">
        <f>D29</f>
        <v>176.88461538461536</v>
      </c>
      <c r="C25" s="233" t="s">
        <v>732</v>
      </c>
      <c r="D25" s="223">
        <f>'R-Definição'!E49</f>
        <v>0</v>
      </c>
      <c r="E25" s="2249">
        <f>'R-Definição'!O49+'R-Definição'!O50</f>
        <v>84.020192307692298</v>
      </c>
      <c r="F25" s="2251"/>
      <c r="G25" s="2249">
        <f>'R-Definição'!O53</f>
        <v>88.442307692307679</v>
      </c>
      <c r="H25" s="2249">
        <f>'R-Definição'!O55</f>
        <v>4.4221153846153838</v>
      </c>
      <c r="I25" s="3"/>
      <c r="J25" s="3"/>
      <c r="K25" s="3"/>
      <c r="L25" s="3"/>
      <c r="M25" s="3"/>
      <c r="N25" s="3"/>
      <c r="O25" s="3"/>
      <c r="P25" s="3"/>
      <c r="Q25" s="3"/>
      <c r="R25" s="3"/>
      <c r="S25" s="3"/>
      <c r="T25" s="3"/>
    </row>
    <row r="26" spans="1:20" ht="18" customHeight="1" x14ac:dyDescent="0.25">
      <c r="A26" s="3"/>
      <c r="B26" s="2248"/>
      <c r="C26" s="233" t="s">
        <v>733</v>
      </c>
      <c r="D26" s="223">
        <f>'R-Definição'!E50</f>
        <v>0</v>
      </c>
      <c r="E26" s="2250"/>
      <c r="F26" s="2250"/>
      <c r="G26" s="2250"/>
      <c r="H26" s="2250"/>
      <c r="I26" s="3"/>
      <c r="J26" s="3"/>
      <c r="K26" s="3"/>
      <c r="L26" s="3"/>
      <c r="M26" s="3"/>
      <c r="N26" s="3"/>
      <c r="O26" s="3"/>
      <c r="P26" s="3"/>
      <c r="Q26" s="3"/>
      <c r="R26" s="3"/>
      <c r="S26" s="3"/>
      <c r="T26" s="3"/>
    </row>
    <row r="27" spans="1:20" ht="18" customHeight="1" x14ac:dyDescent="0.25">
      <c r="A27" s="3"/>
      <c r="B27" s="2248"/>
      <c r="C27" s="233" t="s">
        <v>545</v>
      </c>
      <c r="D27" s="223">
        <f>'R-Definição'!E51</f>
        <v>176.88461538461536</v>
      </c>
      <c r="E27" s="2250"/>
      <c r="F27" s="2250"/>
      <c r="G27" s="2250"/>
      <c r="H27" s="2250"/>
      <c r="I27" s="3"/>
      <c r="J27" s="3"/>
      <c r="K27" s="3"/>
      <c r="L27" s="3"/>
      <c r="M27" s="3"/>
      <c r="N27" s="3"/>
      <c r="O27" s="3"/>
      <c r="P27" s="3"/>
      <c r="Q27" s="3"/>
      <c r="R27" s="3"/>
      <c r="S27" s="3"/>
      <c r="T27" s="3"/>
    </row>
    <row r="28" spans="1:20" ht="18" customHeight="1" x14ac:dyDescent="0.25">
      <c r="A28" s="3"/>
      <c r="B28" s="2248"/>
      <c r="C28" s="233" t="s">
        <v>546</v>
      </c>
      <c r="D28" s="223">
        <f>'R-Definição'!E52</f>
        <v>0</v>
      </c>
      <c r="E28" s="2250"/>
      <c r="F28" s="2250"/>
      <c r="G28" s="2250"/>
      <c r="H28" s="2250"/>
      <c r="I28" s="3"/>
      <c r="J28" s="3"/>
      <c r="K28" s="3"/>
      <c r="L28" s="3"/>
      <c r="M28" s="3"/>
      <c r="N28" s="3"/>
      <c r="O28" s="3"/>
      <c r="P28" s="3"/>
      <c r="Q28" s="3"/>
      <c r="R28" s="3"/>
      <c r="S28" s="3"/>
      <c r="T28" s="3"/>
    </row>
    <row r="29" spans="1:20" ht="18" customHeight="1" x14ac:dyDescent="0.25">
      <c r="A29" s="3"/>
      <c r="B29" s="222"/>
      <c r="C29" s="746" t="s">
        <v>218</v>
      </c>
      <c r="D29" s="740">
        <f>SUM(D25:D28)</f>
        <v>176.88461538461536</v>
      </c>
      <c r="E29" s="224">
        <f>E25</f>
        <v>84.020192307692298</v>
      </c>
      <c r="F29" s="224"/>
      <c r="G29" s="224">
        <f>SUM(G25)</f>
        <v>88.442307692307679</v>
      </c>
      <c r="H29" s="224">
        <f>SUM(H25:H28)</f>
        <v>4.4221153846153838</v>
      </c>
      <c r="I29" s="3"/>
      <c r="J29" s="3"/>
      <c r="K29" s="3"/>
      <c r="L29" s="3"/>
      <c r="M29" s="3"/>
      <c r="N29" s="3"/>
      <c r="O29" s="3"/>
      <c r="P29" s="3"/>
      <c r="Q29" s="3"/>
      <c r="R29" s="3"/>
      <c r="S29" s="3"/>
      <c r="T29" s="3"/>
    </row>
    <row r="30" spans="1:20" ht="18" customHeight="1" x14ac:dyDescent="0.25">
      <c r="A30" s="3"/>
      <c r="B30" s="741">
        <f>'R-Definição'!I51</f>
        <v>176.88461538461536</v>
      </c>
      <c r="C30" s="955" t="s">
        <v>219</v>
      </c>
      <c r="D30" s="228"/>
      <c r="E30" s="229"/>
      <c r="F30" s="229"/>
      <c r="G30" s="229"/>
      <c r="H30" s="229"/>
      <c r="I30" s="3"/>
      <c r="J30" s="3"/>
      <c r="K30" s="3"/>
      <c r="L30" s="3"/>
      <c r="M30" s="3"/>
      <c r="N30" s="3"/>
      <c r="O30" s="3"/>
      <c r="P30" s="3"/>
      <c r="Q30" s="3"/>
      <c r="R30" s="3"/>
      <c r="S30" s="3"/>
      <c r="T30" s="3"/>
    </row>
    <row r="31" spans="1:20" ht="18" customHeight="1" x14ac:dyDescent="0.25">
      <c r="A31" s="3"/>
      <c r="B31" s="741">
        <f>'R-Definição'!I52</f>
        <v>0</v>
      </c>
      <c r="C31" s="955" t="s">
        <v>220</v>
      </c>
      <c r="D31" s="230"/>
      <c r="E31" s="108"/>
      <c r="F31" s="108"/>
      <c r="G31" s="108"/>
      <c r="H31" s="108"/>
      <c r="I31" s="3"/>
      <c r="J31" s="3"/>
      <c r="K31" s="3"/>
      <c r="L31" s="3"/>
      <c r="M31" s="3"/>
      <c r="N31" s="3"/>
      <c r="O31" s="3"/>
      <c r="P31" s="3"/>
      <c r="Q31" s="3"/>
      <c r="R31" s="3"/>
      <c r="S31" s="3"/>
      <c r="T31" s="3"/>
    </row>
    <row r="32" spans="1:20" ht="18" customHeight="1" x14ac:dyDescent="0.25">
      <c r="A32" s="3"/>
      <c r="B32" s="83"/>
      <c r="C32" s="83"/>
      <c r="D32" s="231"/>
      <c r="E32" s="232"/>
      <c r="F32" s="232"/>
      <c r="G32" s="232"/>
      <c r="H32" s="232"/>
      <c r="I32" s="3"/>
      <c r="J32" s="3"/>
      <c r="K32" s="3"/>
      <c r="L32" s="3"/>
      <c r="M32" s="3"/>
      <c r="N32" s="3"/>
      <c r="O32" s="3"/>
      <c r="P32" s="3"/>
      <c r="Q32" s="3"/>
      <c r="R32" s="3"/>
      <c r="S32" s="3"/>
      <c r="T32" s="3"/>
    </row>
    <row r="33" spans="1:20" ht="18" customHeight="1" x14ac:dyDescent="0.25">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25">
      <c r="A34" s="3"/>
      <c r="B34" s="741">
        <f>'R-Definição'!O62</f>
        <v>0</v>
      </c>
      <c r="C34" s="507" t="s">
        <v>221</v>
      </c>
      <c r="D34" s="976">
        <f>IF('R-Definição'!$J$67&lt;&gt;"Uso agrícola dir.",'R-Definição'!$O$62,0)</f>
        <v>0</v>
      </c>
      <c r="E34" s="978"/>
      <c r="F34" s="2260">
        <f>'R-Definição'!O67+'R-Definição'!O68</f>
        <v>92.001057692307697</v>
      </c>
      <c r="G34" s="2249">
        <f>'R-Definição'!O73</f>
        <v>51.111698717948727</v>
      </c>
      <c r="H34" s="2249">
        <f>'R-Definição'!O74</f>
        <v>61.334038461538469</v>
      </c>
      <c r="I34" s="3"/>
      <c r="J34" s="3"/>
      <c r="K34" s="3"/>
      <c r="L34" s="3"/>
      <c r="M34" s="3"/>
      <c r="N34" s="3"/>
      <c r="O34" s="3"/>
      <c r="P34" s="3"/>
      <c r="Q34" s="3"/>
      <c r="R34" s="3"/>
      <c r="S34" s="3"/>
      <c r="T34" s="3"/>
    </row>
    <row r="35" spans="1:20" ht="18" customHeight="1" x14ac:dyDescent="0.25">
      <c r="A35" s="3"/>
      <c r="B35" s="741">
        <f>'R-Definição'!O63+'R-Definição'!O64</f>
        <v>204.44679487179491</v>
      </c>
      <c r="C35" s="507" t="s">
        <v>132</v>
      </c>
      <c r="D35" s="223">
        <f>'R-Definição'!E60-'R-Definição'!O62</f>
        <v>204.44679487179491</v>
      </c>
      <c r="E35" s="975"/>
      <c r="F35" s="2253"/>
      <c r="G35" s="2253"/>
      <c r="H35" s="2253"/>
      <c r="I35" s="3"/>
      <c r="J35" s="3"/>
      <c r="K35" s="3"/>
      <c r="L35" s="3"/>
      <c r="M35" s="3"/>
      <c r="N35" s="3"/>
      <c r="O35" s="3"/>
      <c r="P35" s="3"/>
      <c r="Q35" s="3"/>
      <c r="R35" s="3"/>
      <c r="S35" s="3"/>
      <c r="T35" s="3"/>
    </row>
    <row r="36" spans="1:20" ht="18" customHeight="1" x14ac:dyDescent="0.25">
      <c r="A36" s="3"/>
      <c r="B36" s="211"/>
      <c r="C36" s="747" t="s">
        <v>218</v>
      </c>
      <c r="D36" s="241">
        <f>SUM(D33:D35)</f>
        <v>204.44679487179491</v>
      </c>
      <c r="E36" s="236"/>
      <c r="F36" s="749">
        <f>F34</f>
        <v>92.001057692307697</v>
      </c>
      <c r="G36" s="749">
        <f>G34</f>
        <v>51.111698717948727</v>
      </c>
      <c r="H36" s="749">
        <f>H34</f>
        <v>61.334038461538469</v>
      </c>
      <c r="I36" s="3"/>
      <c r="J36" s="3"/>
      <c r="K36" s="3"/>
      <c r="L36" s="3"/>
      <c r="M36" s="3"/>
      <c r="N36" s="3"/>
      <c r="O36" s="3"/>
      <c r="P36" s="3"/>
      <c r="Q36" s="3"/>
      <c r="R36" s="3"/>
      <c r="S36" s="3"/>
      <c r="T36" s="3"/>
    </row>
    <row r="37" spans="1:20" ht="18" customHeight="1" x14ac:dyDescent="0.25">
      <c r="A37" s="3"/>
      <c r="B37" s="83"/>
      <c r="C37" s="83"/>
      <c r="D37" s="231"/>
      <c r="E37" s="106"/>
      <c r="F37" s="106"/>
      <c r="G37" s="106"/>
      <c r="H37" s="106"/>
      <c r="I37" s="3"/>
      <c r="J37" s="3"/>
      <c r="K37" s="3"/>
      <c r="L37" s="3"/>
      <c r="M37" s="3"/>
      <c r="N37" s="3"/>
      <c r="O37" s="3"/>
      <c r="P37" s="3"/>
      <c r="Q37" s="3"/>
      <c r="R37" s="3"/>
      <c r="S37" s="3"/>
      <c r="T37" s="3"/>
    </row>
    <row r="38" spans="1:20" ht="18" customHeight="1" x14ac:dyDescent="0.25">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25">
      <c r="A39" s="3"/>
      <c r="B39" s="2247">
        <f>'R-Definição'!E112</f>
        <v>0</v>
      </c>
      <c r="C39" s="507" t="s">
        <v>222</v>
      </c>
      <c r="D39" s="223">
        <f>'R-Definição'!E107</f>
        <v>0</v>
      </c>
      <c r="E39" s="2252">
        <f>'R-Definição'!O107+'R-Definição'!O108+'R-Definição'!O109</f>
        <v>0</v>
      </c>
      <c r="F39" s="2251"/>
      <c r="G39" s="2252">
        <f>'R-Definição'!O110</f>
        <v>0</v>
      </c>
      <c r="H39" s="2252">
        <f>'R-Definição'!O113</f>
        <v>0</v>
      </c>
      <c r="I39" s="3"/>
      <c r="J39" s="3"/>
      <c r="K39" s="3"/>
      <c r="L39" s="3"/>
      <c r="M39" s="3"/>
      <c r="N39" s="3"/>
      <c r="O39" s="3"/>
      <c r="P39" s="3"/>
      <c r="Q39" s="3"/>
      <c r="R39" s="3"/>
      <c r="S39" s="3"/>
      <c r="T39" s="3"/>
    </row>
    <row r="40" spans="1:20" ht="18" customHeight="1" x14ac:dyDescent="0.25">
      <c r="A40" s="3"/>
      <c r="B40" s="2176"/>
      <c r="C40" s="507" t="s">
        <v>752</v>
      </c>
      <c r="D40" s="223">
        <f>'R-Definição'!E108</f>
        <v>0</v>
      </c>
      <c r="E40" s="2253"/>
      <c r="F40" s="2253"/>
      <c r="G40" s="2253"/>
      <c r="H40" s="2253"/>
      <c r="I40" s="3"/>
      <c r="J40" s="3"/>
      <c r="K40" s="3"/>
      <c r="L40" s="3"/>
      <c r="M40" s="3"/>
      <c r="N40" s="3"/>
      <c r="O40" s="3"/>
      <c r="P40" s="3"/>
      <c r="Q40" s="3"/>
      <c r="R40" s="3"/>
      <c r="S40" s="3"/>
      <c r="T40" s="3"/>
    </row>
    <row r="41" spans="1:20" ht="18" customHeight="1" x14ac:dyDescent="0.25">
      <c r="A41" s="3"/>
      <c r="B41" s="2176"/>
      <c r="C41" s="507" t="s">
        <v>734</v>
      </c>
      <c r="D41" s="223">
        <f>'R-Definição'!E109</f>
        <v>0</v>
      </c>
      <c r="E41" s="2253"/>
      <c r="F41" s="2253"/>
      <c r="G41" s="2253"/>
      <c r="H41" s="2253"/>
      <c r="I41" s="3"/>
      <c r="J41" s="3"/>
      <c r="K41" s="3"/>
      <c r="L41" s="3"/>
      <c r="M41" s="3"/>
      <c r="N41" s="3"/>
      <c r="O41" s="3"/>
      <c r="P41" s="3"/>
      <c r="Q41" s="3"/>
      <c r="R41" s="3"/>
      <c r="S41" s="3"/>
      <c r="T41" s="3"/>
    </row>
    <row r="42" spans="1:20" ht="18" customHeight="1" x14ac:dyDescent="0.25">
      <c r="A42" s="3"/>
      <c r="B42" s="2176"/>
      <c r="C42" s="237" t="s">
        <v>819</v>
      </c>
      <c r="D42" s="223">
        <f>'R-Definição'!E110</f>
        <v>0</v>
      </c>
      <c r="E42" s="2253"/>
      <c r="F42" s="2253"/>
      <c r="G42" s="2253"/>
      <c r="H42" s="2253"/>
      <c r="I42" s="3"/>
      <c r="J42" s="3"/>
      <c r="K42" s="3"/>
      <c r="L42" s="3"/>
      <c r="M42" s="3"/>
      <c r="N42" s="3"/>
      <c r="O42" s="3"/>
      <c r="P42" s="3"/>
      <c r="Q42" s="3"/>
      <c r="R42" s="3"/>
      <c r="S42" s="3"/>
      <c r="T42" s="3"/>
    </row>
    <row r="43" spans="1:20" ht="18" customHeight="1" x14ac:dyDescent="0.25">
      <c r="A43" s="3"/>
      <c r="C43" s="1708" t="s">
        <v>990</v>
      </c>
      <c r="D43" s="1707">
        <f>'R-Definição'!E111</f>
        <v>0</v>
      </c>
      <c r="I43" s="3"/>
      <c r="J43" s="3"/>
      <c r="K43" s="3"/>
      <c r="L43" s="3"/>
      <c r="M43" s="3"/>
      <c r="N43" s="3"/>
      <c r="O43" s="3"/>
      <c r="P43" s="3"/>
      <c r="Q43" s="3"/>
      <c r="R43" s="3"/>
      <c r="S43" s="3"/>
      <c r="T43" s="3"/>
    </row>
    <row r="44" spans="1:20" ht="18" customHeight="1" x14ac:dyDescent="0.25">
      <c r="A44" s="3"/>
      <c r="B44" s="211"/>
      <c r="C44" s="747" t="s">
        <v>218</v>
      </c>
      <c r="D44" s="979">
        <f>SUM(D39:D43)</f>
        <v>0</v>
      </c>
      <c r="E44" s="750">
        <f>E39</f>
        <v>0</v>
      </c>
      <c r="F44" s="751"/>
      <c r="G44" s="750">
        <f>SUM(G38:G42)</f>
        <v>0</v>
      </c>
      <c r="H44" s="750">
        <f>SUM(H38:H42)</f>
        <v>0</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36"/>
      <c r="C46" s="431" t="s">
        <v>65</v>
      </c>
      <c r="D46" s="735"/>
      <c r="E46" s="5"/>
      <c r="F46" s="5"/>
      <c r="G46" s="5"/>
      <c r="H46" s="5"/>
      <c r="I46" s="3"/>
      <c r="J46" s="3"/>
      <c r="K46" s="3"/>
      <c r="L46" s="3"/>
      <c r="M46" s="3"/>
      <c r="N46" s="3"/>
      <c r="O46" s="3"/>
      <c r="P46" s="3"/>
      <c r="Q46" s="3"/>
      <c r="R46" s="3"/>
      <c r="S46" s="3"/>
      <c r="T46" s="3"/>
    </row>
    <row r="47" spans="1:20" ht="18" customHeight="1" x14ac:dyDescent="0.25">
      <c r="A47" s="3"/>
      <c r="B47" s="2241">
        <f>'R-Definição'!E119</f>
        <v>188.85240384615389</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25">
      <c r="A48" s="3"/>
      <c r="B48" s="2242"/>
      <c r="C48" s="1706" t="s">
        <v>547</v>
      </c>
      <c r="D48" s="1707">
        <f>'R-Definição'!N96</f>
        <v>49.298397435897442</v>
      </c>
      <c r="E48" s="6"/>
      <c r="F48" s="739"/>
      <c r="G48" s="221" t="s">
        <v>225</v>
      </c>
      <c r="H48" s="221" t="s">
        <v>22</v>
      </c>
      <c r="I48" s="3"/>
      <c r="J48" s="3"/>
      <c r="K48" s="3"/>
      <c r="L48" s="3"/>
      <c r="M48" s="3"/>
      <c r="N48" s="3"/>
      <c r="O48" s="3"/>
      <c r="P48" s="3"/>
      <c r="Q48" s="3"/>
      <c r="R48" s="3"/>
      <c r="S48" s="3"/>
      <c r="T48" s="3"/>
    </row>
    <row r="49" spans="1:20" ht="18" customHeight="1" x14ac:dyDescent="0.25">
      <c r="A49" s="3"/>
      <c r="B49" s="2242"/>
      <c r="C49" s="1706" t="s">
        <v>548</v>
      </c>
      <c r="D49" s="1707">
        <f>'R-Definição'!N98+'R-Definição'!N99+'R-Definição'!N97</f>
        <v>0</v>
      </c>
      <c r="E49" s="5"/>
      <c r="F49" s="233" t="s">
        <v>226</v>
      </c>
      <c r="G49" s="223">
        <f>D53</f>
        <v>188.85240384615383</v>
      </c>
      <c r="H49" s="878">
        <f>IF($G$52&lt;&gt;0,G49/$G$52*100,0)</f>
        <v>40.357499999999995</v>
      </c>
      <c r="I49" s="20"/>
      <c r="J49" s="3"/>
      <c r="K49" s="3"/>
      <c r="L49" s="3"/>
      <c r="M49" s="3"/>
      <c r="N49" s="3"/>
      <c r="O49" s="3"/>
      <c r="P49" s="3"/>
      <c r="Q49" s="3"/>
      <c r="R49" s="3"/>
      <c r="S49" s="3"/>
      <c r="T49" s="3"/>
    </row>
    <row r="50" spans="1:20" ht="18" customHeight="1" x14ac:dyDescent="0.25">
      <c r="A50" s="3"/>
      <c r="B50" s="2242"/>
      <c r="C50" s="1706" t="s">
        <v>549</v>
      </c>
      <c r="D50" s="1707">
        <f>'R-Definição'!O53</f>
        <v>88.442307692307679</v>
      </c>
      <c r="E50" s="5"/>
      <c r="F50" s="233" t="s">
        <v>552</v>
      </c>
      <c r="G50" s="878">
        <f>E44+F36+E29+E22</f>
        <v>213.34016025641029</v>
      </c>
      <c r="H50" s="878">
        <f>IF($G$52&lt;&gt;0,G50/$G$52*100,0)</f>
        <v>45.590500000000006</v>
      </c>
      <c r="I50" s="22"/>
      <c r="J50" s="3"/>
      <c r="K50" s="3"/>
      <c r="L50" s="3"/>
      <c r="M50" s="3"/>
      <c r="N50" s="3"/>
      <c r="O50" s="3"/>
      <c r="P50" s="3"/>
      <c r="Q50" s="3"/>
      <c r="R50" s="3"/>
      <c r="S50" s="3"/>
      <c r="T50" s="3"/>
    </row>
    <row r="51" spans="1:20" ht="18" customHeight="1" x14ac:dyDescent="0.25">
      <c r="A51" s="3"/>
      <c r="B51" s="2242"/>
      <c r="C51" s="1706" t="s">
        <v>550</v>
      </c>
      <c r="D51" s="1707">
        <f>'R-Definição'!O73</f>
        <v>51.111698717948727</v>
      </c>
      <c r="E51" s="3"/>
      <c r="F51" s="233" t="s">
        <v>227</v>
      </c>
      <c r="G51" s="878">
        <f>H29+H36+H44</f>
        <v>65.75615384615385</v>
      </c>
      <c r="H51" s="878">
        <f>IF($G$52&lt;&gt;0,G51/$G$52*100,0)</f>
        <v>14.052000000000001</v>
      </c>
      <c r="I51" s="3"/>
      <c r="J51" s="3"/>
      <c r="K51" s="3"/>
      <c r="L51" s="3"/>
      <c r="M51" s="3"/>
      <c r="N51" s="3"/>
      <c r="O51" s="3"/>
      <c r="P51" s="3"/>
      <c r="Q51" s="3"/>
      <c r="R51" s="3"/>
      <c r="S51" s="3"/>
      <c r="T51" s="3"/>
    </row>
    <row r="52" spans="1:20" ht="18" customHeight="1" x14ac:dyDescent="0.25">
      <c r="A52" s="3"/>
      <c r="B52" s="2243"/>
      <c r="C52" s="1706" t="s">
        <v>551</v>
      </c>
      <c r="D52" s="1707">
        <f>'R-Definição'!O110</f>
        <v>0</v>
      </c>
      <c r="E52" s="3"/>
      <c r="F52" s="752" t="s">
        <v>53</v>
      </c>
      <c r="G52" s="224">
        <f>SUM(G49:G51)</f>
        <v>467.94871794871796</v>
      </c>
      <c r="H52" s="743">
        <f>IF($G$52&lt;&gt;0,G52/$G$52*100,0)</f>
        <v>100</v>
      </c>
      <c r="I52" s="20"/>
      <c r="J52" s="3"/>
      <c r="K52" s="3"/>
      <c r="L52" s="3"/>
      <c r="M52" s="3"/>
      <c r="N52" s="3"/>
      <c r="O52" s="3"/>
      <c r="P52" s="3"/>
      <c r="Q52" s="3"/>
      <c r="R52" s="3"/>
      <c r="S52" s="3"/>
      <c r="T52" s="3"/>
    </row>
    <row r="53" spans="1:20" ht="18" customHeight="1" x14ac:dyDescent="0.25">
      <c r="A53" s="3"/>
      <c r="B53" s="745"/>
      <c r="C53" s="746" t="s">
        <v>218</v>
      </c>
      <c r="D53" s="740">
        <f>SUM(D47:D52)</f>
        <v>188.85240384615383</v>
      </c>
      <c r="E53" s="3"/>
      <c r="F53" s="239" t="s">
        <v>228</v>
      </c>
      <c r="G53" s="23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2127" t="s">
        <v>151</v>
      </c>
      <c r="C55" s="2165"/>
      <c r="D55" s="2127" t="s">
        <v>229</v>
      </c>
      <c r="E55" s="2187"/>
      <c r="F55" s="2187"/>
      <c r="G55" s="2187"/>
      <c r="H55" s="2187"/>
      <c r="I55" s="2187"/>
      <c r="J55" s="2187"/>
      <c r="K55" s="2187"/>
      <c r="L55" s="3"/>
      <c r="M55" s="3"/>
      <c r="N55" s="3"/>
      <c r="O55" s="3"/>
      <c r="P55" s="3"/>
      <c r="Q55" s="3"/>
      <c r="R55" s="3"/>
      <c r="S55" s="3"/>
      <c r="T55" s="3"/>
    </row>
    <row r="56" spans="1:20" ht="18" customHeight="1" x14ac:dyDescent="0.25">
      <c r="A56" s="3"/>
      <c r="B56" s="2165"/>
      <c r="C56" s="2165"/>
      <c r="D56" s="2256" t="s">
        <v>53</v>
      </c>
      <c r="E56" s="2256" t="s">
        <v>185</v>
      </c>
      <c r="F56" s="2257"/>
      <c r="G56" s="2257"/>
      <c r="H56" s="2258" t="s">
        <v>62</v>
      </c>
      <c r="I56" s="2258" t="s">
        <v>188</v>
      </c>
      <c r="J56" s="2258" t="s">
        <v>64</v>
      </c>
      <c r="K56" s="2258" t="s">
        <v>65</v>
      </c>
      <c r="L56" s="3"/>
      <c r="M56" s="3"/>
      <c r="N56" s="3"/>
      <c r="O56" s="3"/>
      <c r="P56" s="3"/>
      <c r="Q56" s="3"/>
      <c r="R56" s="3"/>
      <c r="S56" s="3"/>
      <c r="T56" s="3"/>
    </row>
    <row r="57" spans="1:20" ht="18" customHeight="1" x14ac:dyDescent="0.25">
      <c r="A57" s="3"/>
      <c r="B57" s="2255" t="s">
        <v>28</v>
      </c>
      <c r="C57" s="515" t="s">
        <v>21</v>
      </c>
      <c r="D57" s="2257"/>
      <c r="E57" s="515" t="s">
        <v>80</v>
      </c>
      <c r="F57" s="515" t="s">
        <v>87</v>
      </c>
      <c r="G57" s="515" t="s">
        <v>73</v>
      </c>
      <c r="H57" s="2257"/>
      <c r="I57" s="2257"/>
      <c r="J57" s="2257"/>
      <c r="K57" s="2257"/>
      <c r="L57" s="3"/>
      <c r="M57" s="3"/>
      <c r="N57" s="3"/>
      <c r="O57" s="3"/>
      <c r="P57" s="3"/>
      <c r="Q57" s="3"/>
      <c r="R57" s="3"/>
      <c r="S57" s="3"/>
      <c r="T57" s="3"/>
    </row>
    <row r="58" spans="1:20" ht="18" customHeight="1" x14ac:dyDescent="0.25">
      <c r="A58" s="3"/>
      <c r="B58" s="2255"/>
      <c r="C58" s="233" t="s">
        <v>74</v>
      </c>
      <c r="D58" s="223">
        <f t="shared" ref="D58:D64" si="0">SUM(E58:K58)</f>
        <v>15.325320512820513</v>
      </c>
      <c r="E58" s="223">
        <f>'R-Definição'!M24</f>
        <v>0</v>
      </c>
      <c r="F58" s="223">
        <f>'R-Definição'!N24</f>
        <v>0</v>
      </c>
      <c r="G58" s="223">
        <f>'R-Definição'!O24</f>
        <v>15.325320512820513</v>
      </c>
      <c r="H58" s="878"/>
      <c r="I58" s="877"/>
      <c r="J58" s="877"/>
      <c r="K58" s="877"/>
      <c r="L58" s="3"/>
      <c r="M58" s="3"/>
      <c r="N58" s="3"/>
      <c r="O58" s="3"/>
      <c r="P58" s="3"/>
      <c r="Q58" s="3"/>
      <c r="R58" s="3"/>
      <c r="S58" s="3"/>
      <c r="T58" s="3"/>
    </row>
    <row r="59" spans="1:20" ht="18" customHeight="1" x14ac:dyDescent="0.25">
      <c r="A59" s="3"/>
      <c r="B59" s="2255"/>
      <c r="C59" s="233" t="s">
        <v>29</v>
      </c>
      <c r="D59" s="223">
        <f t="shared" si="0"/>
        <v>10.411858974358974</v>
      </c>
      <c r="E59" s="223">
        <f>'R-Definição'!M25</f>
        <v>0</v>
      </c>
      <c r="F59" s="223">
        <f>'R-Definição'!N25</f>
        <v>0</v>
      </c>
      <c r="G59" s="223">
        <f>'R-Definição'!O25</f>
        <v>10.411858974358974</v>
      </c>
      <c r="H59" s="879"/>
      <c r="I59" s="880"/>
      <c r="J59" s="880"/>
      <c r="K59" s="880"/>
      <c r="L59" s="3"/>
      <c r="M59" s="3"/>
      <c r="N59" s="3"/>
      <c r="O59" s="3"/>
      <c r="P59" s="3"/>
      <c r="Q59" s="3"/>
      <c r="R59" s="3"/>
      <c r="S59" s="3"/>
      <c r="T59" s="3"/>
    </row>
    <row r="60" spans="1:20" ht="18" customHeight="1" x14ac:dyDescent="0.25">
      <c r="A60" s="3"/>
      <c r="B60" s="2255"/>
      <c r="C60" s="233" t="s">
        <v>78</v>
      </c>
      <c r="D60" s="223">
        <f t="shared" si="0"/>
        <v>5.3814102564102564</v>
      </c>
      <c r="E60" s="223">
        <f>'R-Definição'!M26</f>
        <v>0</v>
      </c>
      <c r="F60" s="223">
        <f>'R-Definição'!N26</f>
        <v>0</v>
      </c>
      <c r="G60" s="223">
        <f>'R-Definição'!O26</f>
        <v>5.3814102564102564</v>
      </c>
      <c r="H60" s="878"/>
      <c r="I60" s="877"/>
      <c r="J60" s="877"/>
      <c r="K60" s="877"/>
      <c r="L60" s="3"/>
      <c r="M60" s="3"/>
      <c r="N60" s="3"/>
      <c r="O60" s="3"/>
      <c r="P60" s="3"/>
      <c r="Q60" s="3"/>
      <c r="R60" s="3"/>
      <c r="S60" s="3"/>
      <c r="T60" s="3"/>
    </row>
    <row r="61" spans="1:20" ht="18" customHeight="1" x14ac:dyDescent="0.25">
      <c r="A61" s="3"/>
      <c r="B61" s="2255"/>
      <c r="C61" s="233" t="s">
        <v>31</v>
      </c>
      <c r="D61" s="223">
        <f t="shared" si="0"/>
        <v>2.8076923076923079</v>
      </c>
      <c r="E61" s="223">
        <f>'R-Definição'!M27</f>
        <v>0</v>
      </c>
      <c r="F61" s="223">
        <f>'R-Definição'!N27</f>
        <v>0</v>
      </c>
      <c r="G61" s="223">
        <f>'R-Definição'!O27</f>
        <v>2.8076923076923079</v>
      </c>
      <c r="H61" s="878"/>
      <c r="I61" s="877"/>
      <c r="J61" s="877"/>
      <c r="K61" s="877"/>
      <c r="L61" s="3"/>
      <c r="M61" s="3"/>
      <c r="N61" s="3"/>
      <c r="O61" s="3"/>
      <c r="P61" s="3"/>
      <c r="Q61" s="3"/>
      <c r="R61" s="3"/>
      <c r="S61" s="3"/>
      <c r="T61" s="3"/>
    </row>
    <row r="62" spans="1:20" ht="18" customHeight="1" x14ac:dyDescent="0.25">
      <c r="A62" s="3"/>
      <c r="B62" s="2255"/>
      <c r="C62" s="233" t="s">
        <v>32</v>
      </c>
      <c r="D62" s="223">
        <f t="shared" si="0"/>
        <v>2.6907051282051282</v>
      </c>
      <c r="E62" s="223">
        <f>'R-Definição'!M28</f>
        <v>0</v>
      </c>
      <c r="F62" s="223">
        <f>'R-Definição'!N28</f>
        <v>0</v>
      </c>
      <c r="G62" s="223">
        <f>'R-Definição'!O28</f>
        <v>2.6907051282051282</v>
      </c>
      <c r="H62" s="878"/>
      <c r="I62" s="877"/>
      <c r="J62" s="878">
        <f>'R-Definição'!O107</f>
        <v>0</v>
      </c>
      <c r="K62" s="877"/>
      <c r="L62" s="3"/>
      <c r="M62" s="3"/>
      <c r="N62" s="3"/>
      <c r="O62" s="3"/>
      <c r="P62" s="3"/>
      <c r="Q62" s="3"/>
      <c r="R62" s="3"/>
      <c r="S62" s="3"/>
      <c r="T62" s="3"/>
    </row>
    <row r="63" spans="1:20" ht="18" customHeight="1" x14ac:dyDescent="0.25">
      <c r="A63" s="3"/>
      <c r="B63" s="2255"/>
      <c r="C63" s="233" t="s">
        <v>84</v>
      </c>
      <c r="D63" s="223">
        <f t="shared" si="0"/>
        <v>0.70192307692307698</v>
      </c>
      <c r="E63" s="223">
        <f>'R-Definição'!M29</f>
        <v>0</v>
      </c>
      <c r="F63" s="223">
        <f>'R-Definição'!N29</f>
        <v>0</v>
      </c>
      <c r="G63" s="223">
        <f>'R-Definição'!O29</f>
        <v>0.70192307692307698</v>
      </c>
      <c r="H63" s="878"/>
      <c r="I63" s="877"/>
      <c r="J63" s="878">
        <f>'R-Definição'!O108</f>
        <v>0</v>
      </c>
      <c r="K63" s="877"/>
      <c r="L63" s="3"/>
      <c r="M63" s="3"/>
      <c r="N63" s="3"/>
      <c r="O63" s="3"/>
      <c r="P63" s="3"/>
      <c r="Q63" s="3"/>
      <c r="R63" s="3"/>
      <c r="S63" s="3"/>
      <c r="T63" s="3"/>
    </row>
    <row r="64" spans="1:20" ht="18" customHeight="1" x14ac:dyDescent="0.25">
      <c r="A64" s="3"/>
      <c r="B64" s="2255"/>
      <c r="C64" s="753" t="s">
        <v>513</v>
      </c>
      <c r="D64" s="241">
        <f t="shared" si="0"/>
        <v>37.318910256410263</v>
      </c>
      <c r="E64" s="242">
        <f>SUM(E58:E63)</f>
        <v>0</v>
      </c>
      <c r="F64" s="242">
        <f>SUM(F58:F63)</f>
        <v>0</v>
      </c>
      <c r="G64" s="242">
        <f>SUM(G58:G63)</f>
        <v>37.318910256410263</v>
      </c>
      <c r="H64" s="235"/>
      <c r="I64" s="517"/>
      <c r="J64" s="243">
        <f>SUM(J58:J63)</f>
        <v>0</v>
      </c>
      <c r="K64" s="517"/>
      <c r="L64" s="3"/>
      <c r="M64" s="3"/>
      <c r="N64" s="3"/>
      <c r="O64" s="3"/>
      <c r="P64" s="3"/>
      <c r="Q64" s="3"/>
      <c r="R64" s="3"/>
      <c r="S64" s="3"/>
      <c r="T64" s="3"/>
    </row>
    <row r="65" spans="1:20" ht="18" customHeight="1" x14ac:dyDescent="0.25">
      <c r="A65" s="3"/>
      <c r="B65" s="2255"/>
      <c r="C65" s="515" t="s">
        <v>21</v>
      </c>
      <c r="D65" s="223"/>
      <c r="E65" s="877"/>
      <c r="F65" s="877"/>
      <c r="G65" s="877"/>
      <c r="H65" s="878"/>
      <c r="I65" s="877"/>
      <c r="J65" s="877"/>
      <c r="K65" s="877"/>
      <c r="L65" s="3"/>
      <c r="M65" s="3"/>
      <c r="N65" s="3"/>
      <c r="O65" s="3"/>
      <c r="P65" s="3"/>
      <c r="Q65" s="3"/>
      <c r="R65" s="3"/>
      <c r="S65" s="3"/>
      <c r="T65" s="3"/>
    </row>
    <row r="66" spans="1:20" ht="18" customHeight="1" x14ac:dyDescent="0.25">
      <c r="A66" s="3"/>
      <c r="B66" s="2254" t="s">
        <v>231</v>
      </c>
      <c r="C66" s="233" t="s">
        <v>232</v>
      </c>
      <c r="D66" s="223">
        <f>SUM(E66:K66)</f>
        <v>92.001057692307697</v>
      </c>
      <c r="E66" s="877"/>
      <c r="F66" s="877"/>
      <c r="G66" s="877"/>
      <c r="H66" s="878"/>
      <c r="I66" s="878">
        <f>'R-Definição'!O67</f>
        <v>92.001057692307697</v>
      </c>
      <c r="J66" s="877"/>
      <c r="K66" s="877"/>
      <c r="L66" s="3"/>
      <c r="M66" s="3"/>
      <c r="N66" s="3"/>
      <c r="O66" s="3"/>
      <c r="P66" s="3"/>
      <c r="Q66" s="3"/>
      <c r="R66" s="3"/>
      <c r="S66" s="3"/>
      <c r="T66" s="3"/>
    </row>
    <row r="67" spans="1:20" ht="18" customHeight="1" x14ac:dyDescent="0.25">
      <c r="A67" s="3"/>
      <c r="B67" s="2255"/>
      <c r="C67" s="233" t="s">
        <v>233</v>
      </c>
      <c r="D67" s="223">
        <f>SUM(E67:K67)</f>
        <v>0</v>
      </c>
      <c r="E67" s="877"/>
      <c r="F67" s="877"/>
      <c r="G67" s="877"/>
      <c r="H67" s="878"/>
      <c r="I67" s="878">
        <f>IF('R-Definição'!I72&lt;&gt;"Cobertura de aterro sanitário",'R-Definição'!O68,0)</f>
        <v>0</v>
      </c>
      <c r="J67" s="877"/>
      <c r="K67" s="877"/>
      <c r="L67" s="3"/>
      <c r="M67" s="3"/>
      <c r="N67" s="3"/>
      <c r="O67" s="3"/>
      <c r="P67" s="3"/>
      <c r="Q67" s="3"/>
      <c r="R67" s="3"/>
      <c r="S67" s="3"/>
      <c r="T67" s="3"/>
    </row>
    <row r="68" spans="1:20" ht="18" customHeight="1" x14ac:dyDescent="0.25">
      <c r="A68" s="3"/>
      <c r="B68" s="2255"/>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25">
      <c r="A69" s="3"/>
      <c r="B69" s="2255"/>
      <c r="C69" s="753" t="s">
        <v>554</v>
      </c>
      <c r="D69" s="241">
        <f>SUM(D66:D67)</f>
        <v>92.001057692307697</v>
      </c>
      <c r="E69" s="515"/>
      <c r="F69" s="515"/>
      <c r="G69" s="515"/>
      <c r="H69" s="235"/>
      <c r="I69" s="235">
        <f>SUM(I66:I68)</f>
        <v>92.001057692307697</v>
      </c>
      <c r="J69" s="517"/>
      <c r="K69" s="517"/>
      <c r="L69" s="3"/>
      <c r="M69" s="3"/>
      <c r="N69" s="3"/>
      <c r="O69" s="3"/>
      <c r="P69" s="3"/>
      <c r="Q69" s="3"/>
      <c r="R69" s="3"/>
      <c r="S69" s="3"/>
      <c r="T69" s="3"/>
    </row>
    <row r="70" spans="1:20" ht="18" customHeight="1" x14ac:dyDescent="0.25">
      <c r="A70" s="3"/>
      <c r="B70" s="2255"/>
      <c r="C70" s="515" t="s">
        <v>21</v>
      </c>
      <c r="D70" s="223"/>
      <c r="E70" s="877"/>
      <c r="F70" s="877"/>
      <c r="G70" s="877"/>
      <c r="H70" s="878"/>
      <c r="I70" s="877"/>
      <c r="J70" s="877"/>
      <c r="K70" s="877"/>
      <c r="L70" s="3"/>
      <c r="M70" s="3"/>
      <c r="N70" s="3"/>
      <c r="O70" s="3"/>
      <c r="P70" s="3"/>
      <c r="Q70" s="3"/>
      <c r="R70" s="3"/>
      <c r="S70" s="3"/>
      <c r="T70" s="3"/>
    </row>
    <row r="71" spans="1:20" ht="18" customHeight="1" x14ac:dyDescent="0.25">
      <c r="A71" s="3"/>
      <c r="B71" s="2255"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25">
      <c r="A72" s="3"/>
      <c r="B72" s="2255"/>
      <c r="C72" s="233" t="s">
        <v>235</v>
      </c>
      <c r="D72" s="223">
        <f>SUM(E72:K72)</f>
        <v>84.020192307692298</v>
      </c>
      <c r="E72" s="877"/>
      <c r="F72" s="877"/>
      <c r="G72" s="877"/>
      <c r="H72" s="878">
        <f>'R-Definição'!O50</f>
        <v>84.020192307692298</v>
      </c>
      <c r="I72" s="877"/>
      <c r="J72" s="877"/>
      <c r="K72" s="877"/>
      <c r="L72" s="3"/>
      <c r="M72" s="3"/>
      <c r="N72" s="3"/>
      <c r="O72" s="3"/>
      <c r="P72" s="3"/>
      <c r="Q72" s="3"/>
      <c r="R72" s="3"/>
      <c r="S72" s="3"/>
      <c r="T72" s="3"/>
    </row>
    <row r="73" spans="1:20" ht="18" customHeight="1" x14ac:dyDescent="0.25">
      <c r="A73" s="3"/>
      <c r="B73" s="2255"/>
      <c r="C73" s="515" t="s">
        <v>555</v>
      </c>
      <c r="D73" s="241">
        <f>SUM(D71:D72)</f>
        <v>84.020192307692298</v>
      </c>
      <c r="E73" s="515"/>
      <c r="F73" s="515"/>
      <c r="G73" s="515"/>
      <c r="H73" s="235"/>
      <c r="I73" s="517"/>
      <c r="J73" s="517"/>
      <c r="K73" s="517"/>
      <c r="L73" s="3"/>
      <c r="M73" s="3"/>
      <c r="N73" s="3"/>
      <c r="O73" s="3"/>
      <c r="P73" s="3"/>
      <c r="Q73" s="3"/>
      <c r="R73" s="3"/>
      <c r="S73" s="3"/>
      <c r="T73" s="3"/>
    </row>
    <row r="74" spans="1:20" ht="18" customHeight="1" x14ac:dyDescent="0.25">
      <c r="A74" s="3"/>
      <c r="B74" s="233" t="s">
        <v>236</v>
      </c>
      <c r="C74" s="233" t="s">
        <v>237</v>
      </c>
      <c r="D74" s="873">
        <f>SUM(E74:K74)</f>
        <v>0</v>
      </c>
      <c r="E74" s="873"/>
      <c r="F74" s="873"/>
      <c r="G74" s="873"/>
      <c r="H74" s="874"/>
      <c r="I74" s="873">
        <f>'R-Definição'!O69</f>
        <v>0</v>
      </c>
      <c r="J74" s="873">
        <f>'R-Definição'!O111</f>
        <v>0</v>
      </c>
      <c r="K74" s="873">
        <f>'R-Definição'!J127</f>
        <v>0</v>
      </c>
      <c r="L74" s="3"/>
      <c r="M74" s="3"/>
      <c r="N74" s="3"/>
      <c r="O74" s="3"/>
      <c r="P74" s="3"/>
      <c r="Q74" s="3"/>
      <c r="R74" s="3"/>
      <c r="S74" s="3"/>
      <c r="T74" s="3"/>
    </row>
    <row r="75" spans="1:20" ht="18" customHeight="1" x14ac:dyDescent="0.25">
      <c r="A75" s="3"/>
      <c r="B75" s="233" t="s">
        <v>238</v>
      </c>
      <c r="C75" s="233" t="s">
        <v>753</v>
      </c>
      <c r="D75" s="873">
        <f>SUM(E75:K75)</f>
        <v>0</v>
      </c>
      <c r="E75" s="873"/>
      <c r="F75" s="873"/>
      <c r="G75" s="873"/>
      <c r="H75" s="874"/>
      <c r="I75" s="873">
        <f>'R-Definição'!O70</f>
        <v>0</v>
      </c>
      <c r="J75" s="873"/>
      <c r="K75" s="873">
        <f>'R-Definição'!J128</f>
        <v>0</v>
      </c>
      <c r="L75" s="3"/>
      <c r="M75" s="3"/>
      <c r="N75" s="3"/>
      <c r="O75" s="3"/>
      <c r="P75" s="3"/>
      <c r="Q75" s="3"/>
      <c r="R75" s="3"/>
      <c r="S75" s="3"/>
      <c r="T75" s="3"/>
    </row>
    <row r="76" spans="1:20" ht="18" customHeight="1" x14ac:dyDescent="0.25">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25">
      <c r="A2" s="245"/>
      <c r="B2" s="451"/>
      <c r="C2" s="452" t="s">
        <v>679</v>
      </c>
      <c r="D2" s="2262" t="str">
        <f>IF('R-Entrada'!D2&lt;&gt;0,'R-Entrada'!D2,"")</f>
        <v>CIRSOP - Consórcio RSU Oeste Paulista</v>
      </c>
      <c r="E2" s="2172"/>
      <c r="F2" s="2172"/>
      <c r="G2" s="2172"/>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25">
      <c r="A3" s="245"/>
      <c r="B3" s="451"/>
      <c r="C3" s="452" t="s">
        <v>680</v>
      </c>
      <c r="D3" s="2262" t="str">
        <f>IF('R-Entrada'!D3&lt;&gt;0,'R-Entrada'!D3,"")</f>
        <v>Biodigestão c/ Prod. E. Elétrica</v>
      </c>
      <c r="E3" s="2144"/>
      <c r="F3" s="2144"/>
      <c r="G3" s="2144"/>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25">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25">
      <c r="A5" s="245"/>
      <c r="B5" s="93" t="s">
        <v>735</v>
      </c>
      <c r="C5" s="100"/>
      <c r="D5" s="100"/>
      <c r="E5" s="100"/>
      <c r="F5" s="100"/>
      <c r="G5" s="100"/>
      <c r="H5" s="100"/>
      <c r="I5" s="100"/>
      <c r="J5" s="100"/>
      <c r="K5" s="248"/>
      <c r="L5" s="100"/>
      <c r="M5" s="100"/>
      <c r="N5" s="100"/>
      <c r="O5" s="100"/>
      <c r="P5" s="476"/>
      <c r="Q5" s="2263" t="s">
        <v>473</v>
      </c>
      <c r="R5" s="2174"/>
      <c r="S5" s="2174"/>
      <c r="T5" s="2174"/>
      <c r="U5" s="2174"/>
      <c r="V5" s="476"/>
      <c r="W5" s="476"/>
      <c r="X5" s="476"/>
      <c r="Y5" s="476"/>
      <c r="Z5" s="476"/>
      <c r="AA5" s="476"/>
      <c r="AB5" s="476"/>
      <c r="AC5" s="476"/>
      <c r="AD5" s="476"/>
      <c r="AE5" s="476"/>
      <c r="AF5" s="476"/>
      <c r="AG5" s="476"/>
      <c r="AH5" s="476"/>
    </row>
    <row r="6" spans="1:34" s="956" customFormat="1" ht="18" customHeight="1" x14ac:dyDescent="0.25">
      <c r="A6" s="245"/>
      <c r="B6" s="451"/>
      <c r="C6" s="476"/>
      <c r="D6" s="476"/>
      <c r="E6" s="476"/>
      <c r="F6" s="476"/>
      <c r="G6" s="476"/>
      <c r="H6" s="476"/>
      <c r="I6" s="476"/>
      <c r="J6" s="476"/>
      <c r="K6" s="476"/>
      <c r="L6" s="476"/>
      <c r="M6" s="476"/>
      <c r="N6" s="476"/>
      <c r="O6" s="476"/>
      <c r="P6" s="476"/>
      <c r="Q6" s="2126" t="str">
        <f>Apresentação!I2</f>
        <v>RC-RSU V.1.0 - 15/10/2020</v>
      </c>
      <c r="R6" s="2126"/>
      <c r="S6" s="2126"/>
      <c r="T6" s="2174"/>
      <c r="U6" s="2174"/>
      <c r="V6" s="476"/>
      <c r="W6" s="476"/>
      <c r="X6" s="476"/>
      <c r="Y6" s="2264"/>
      <c r="Z6" s="2265"/>
      <c r="AA6" s="2265"/>
      <c r="AB6" s="2265"/>
      <c r="AC6" s="476"/>
      <c r="AD6" s="476"/>
      <c r="AE6" s="476"/>
      <c r="AF6" s="476"/>
      <c r="AG6" s="476"/>
      <c r="AH6" s="476"/>
    </row>
    <row r="7" spans="1:34" ht="16.149999999999999" customHeight="1" x14ac:dyDescent="0.25">
      <c r="A7" s="245"/>
      <c r="B7" s="434"/>
      <c r="C7" s="476"/>
      <c r="D7" s="476"/>
      <c r="E7" s="476"/>
      <c r="F7" s="476"/>
      <c r="G7" s="476"/>
      <c r="H7" s="476"/>
      <c r="I7" s="476"/>
      <c r="J7" s="476"/>
      <c r="K7" s="476"/>
      <c r="L7" s="476"/>
      <c r="M7" s="476"/>
      <c r="N7" s="476"/>
      <c r="O7" s="476"/>
      <c r="P7" s="476"/>
      <c r="Q7" s="476"/>
      <c r="R7" s="476"/>
      <c r="S7" s="476"/>
      <c r="T7" s="476"/>
      <c r="U7" s="476"/>
      <c r="V7" s="476"/>
      <c r="W7" s="476"/>
      <c r="X7" s="476"/>
      <c r="Y7" s="2265"/>
      <c r="Z7" s="2265"/>
      <c r="AA7" s="2265"/>
      <c r="AB7" s="2265"/>
      <c r="AC7" s="476"/>
      <c r="AD7" s="476"/>
      <c r="AE7" s="476"/>
      <c r="AF7" s="476"/>
      <c r="AG7" s="476"/>
      <c r="AH7" s="476"/>
    </row>
    <row r="8" spans="1:34" ht="18" customHeight="1" x14ac:dyDescent="0.25">
      <c r="A8" s="251"/>
      <c r="B8" s="2266" t="s">
        <v>777</v>
      </c>
      <c r="C8" s="2267"/>
      <c r="D8" s="2267"/>
      <c r="E8" s="2267"/>
      <c r="F8" s="834"/>
      <c r="G8" s="834"/>
      <c r="H8" s="834"/>
      <c r="I8" s="834"/>
      <c r="J8" s="835"/>
      <c r="K8" s="438"/>
      <c r="L8" s="195" t="s">
        <v>932</v>
      </c>
      <c r="M8" s="454"/>
      <c r="N8" s="454"/>
      <c r="O8" s="454"/>
      <c r="P8" s="454"/>
      <c r="Q8" s="454"/>
      <c r="R8" s="454"/>
      <c r="S8" s="455"/>
      <c r="T8" s="498"/>
      <c r="U8" s="245"/>
      <c r="V8" s="476"/>
      <c r="W8" s="476"/>
      <c r="X8" s="476"/>
      <c r="Y8" s="2265"/>
      <c r="Z8" s="2265"/>
      <c r="AA8" s="2265"/>
      <c r="AB8" s="2265"/>
      <c r="AC8" s="476"/>
      <c r="AD8" s="476"/>
      <c r="AE8" s="476"/>
      <c r="AF8" s="476"/>
      <c r="AG8" s="476"/>
      <c r="AH8" s="476"/>
    </row>
    <row r="9" spans="1:34" ht="18" customHeight="1" x14ac:dyDescent="0.25">
      <c r="A9" s="245"/>
      <c r="B9" s="439"/>
      <c r="C9" s="802" t="s">
        <v>240</v>
      </c>
      <c r="D9" s="803" t="s">
        <v>799</v>
      </c>
      <c r="E9" s="815"/>
      <c r="F9" s="833"/>
      <c r="G9" s="639"/>
      <c r="H9" s="652"/>
      <c r="I9" s="1027">
        <f>'R-Entrada'!E14*313</f>
        <v>146467.94871794872</v>
      </c>
      <c r="J9" s="255" t="s">
        <v>241</v>
      </c>
      <c r="K9" s="440"/>
      <c r="L9" s="814"/>
      <c r="M9" s="456" t="s">
        <v>242</v>
      </c>
      <c r="N9" s="456"/>
      <c r="O9" s="456"/>
      <c r="P9" s="456"/>
      <c r="Q9" s="456"/>
      <c r="R9" s="456"/>
      <c r="S9" s="457"/>
      <c r="T9" s="836"/>
      <c r="U9" s="245"/>
      <c r="V9" s="476"/>
      <c r="W9" s="476"/>
      <c r="X9" s="476"/>
      <c r="Y9" s="2265"/>
      <c r="Z9" s="2265"/>
      <c r="AA9" s="2265"/>
      <c r="AB9" s="2265"/>
      <c r="AC9" s="476"/>
      <c r="AD9" s="476"/>
      <c r="AE9" s="476"/>
      <c r="AF9" s="476"/>
      <c r="AG9" s="476"/>
      <c r="AH9" s="476"/>
    </row>
    <row r="10" spans="1:34" ht="18" customHeight="1" x14ac:dyDescent="0.25">
      <c r="A10" s="245"/>
      <c r="B10" s="433"/>
      <c r="C10" s="435"/>
      <c r="D10" s="436"/>
      <c r="E10" s="436"/>
      <c r="F10" s="433"/>
      <c r="G10" s="433"/>
      <c r="H10" s="433"/>
      <c r="I10" s="433"/>
      <c r="J10" s="433"/>
      <c r="K10" s="437"/>
      <c r="L10" s="763"/>
      <c r="M10" s="518" t="s">
        <v>243</v>
      </c>
      <c r="N10" s="507" t="s">
        <v>754</v>
      </c>
      <c r="O10" s="507"/>
      <c r="P10" s="132"/>
      <c r="Q10" s="501">
        <f>IF('R-Entrada'!G28&lt;&gt;0,S10/'R-Entrada'!G28*100,0)</f>
        <v>25</v>
      </c>
      <c r="R10" s="255" t="s">
        <v>195</v>
      </c>
      <c r="S10" s="254">
        <f>'R-Definição'!L24</f>
        <v>15.325320512820513</v>
      </c>
      <c r="T10" s="850" t="s">
        <v>21</v>
      </c>
      <c r="U10" s="754"/>
      <c r="V10" s="476"/>
      <c r="W10" s="476"/>
      <c r="X10" s="476"/>
      <c r="Y10" s="2265"/>
      <c r="Z10" s="2265"/>
      <c r="AA10" s="2265"/>
      <c r="AB10" s="2265"/>
      <c r="AC10" s="476"/>
      <c r="AD10" s="476"/>
      <c r="AE10" s="476"/>
      <c r="AF10" s="476"/>
      <c r="AG10" s="476"/>
      <c r="AH10" s="476"/>
    </row>
    <row r="11" spans="1:34" ht="18" customHeight="1" x14ac:dyDescent="0.25">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25</v>
      </c>
      <c r="R11" s="255" t="s">
        <v>195</v>
      </c>
      <c r="S11" s="254">
        <f>'R-Definição'!L25+'R-Definição'!L26</f>
        <v>15.79326923076923</v>
      </c>
      <c r="T11" s="850" t="s">
        <v>21</v>
      </c>
      <c r="U11" s="754"/>
      <c r="V11" s="476"/>
      <c r="W11" s="476"/>
      <c r="X11" s="476"/>
      <c r="Y11" s="476"/>
      <c r="Z11" s="476"/>
      <c r="AA11" s="476"/>
      <c r="AB11" s="476"/>
      <c r="AC11" s="476"/>
      <c r="AD11" s="476"/>
      <c r="AE11" s="476"/>
      <c r="AF11" s="476"/>
      <c r="AG11" s="476"/>
      <c r="AH11" s="476"/>
    </row>
    <row r="12" spans="1:34" ht="18" customHeight="1" x14ac:dyDescent="0.25">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25</v>
      </c>
      <c r="R12" s="255" t="s">
        <v>195</v>
      </c>
      <c r="S12" s="254">
        <f>'R-Definição'!L27</f>
        <v>2.8076923076923079</v>
      </c>
      <c r="T12" s="850" t="s">
        <v>21</v>
      </c>
      <c r="U12" s="754"/>
      <c r="V12" s="476"/>
      <c r="W12" s="476"/>
      <c r="X12" s="476"/>
      <c r="Y12" s="476"/>
      <c r="Z12" s="476"/>
      <c r="AA12" s="476"/>
      <c r="AB12" s="476"/>
      <c r="AC12" s="476"/>
      <c r="AD12" s="476"/>
      <c r="AE12" s="476"/>
      <c r="AF12" s="476"/>
      <c r="AG12" s="476"/>
      <c r="AH12" s="476"/>
    </row>
    <row r="13" spans="1:34" ht="18" customHeight="1" x14ac:dyDescent="0.25">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25</v>
      </c>
      <c r="R13" s="255" t="s">
        <v>195</v>
      </c>
      <c r="S13" s="254">
        <f>'R-Definição'!L28</f>
        <v>2.6907051282051282</v>
      </c>
      <c r="T13" s="850" t="s">
        <v>21</v>
      </c>
      <c r="U13" s="754"/>
      <c r="V13" s="476"/>
      <c r="W13" s="476"/>
      <c r="X13" s="476"/>
      <c r="Y13" s="476"/>
      <c r="Z13" s="476"/>
      <c r="AA13" s="476"/>
      <c r="AB13" s="476"/>
      <c r="AC13" s="476"/>
      <c r="AD13" s="476"/>
      <c r="AE13" s="476"/>
      <c r="AF13" s="476"/>
      <c r="AG13" s="476"/>
      <c r="AH13" s="476"/>
    </row>
    <row r="14" spans="1:34" ht="18" customHeight="1" x14ac:dyDescent="0.25">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25</v>
      </c>
      <c r="R14" s="255" t="s">
        <v>195</v>
      </c>
      <c r="S14" s="254">
        <f>'R-Definição'!L29</f>
        <v>0.70192307692307698</v>
      </c>
      <c r="T14" s="850" t="s">
        <v>21</v>
      </c>
      <c r="U14" s="754"/>
      <c r="V14" s="476"/>
      <c r="W14" s="476"/>
      <c r="X14" s="476"/>
      <c r="Y14" s="476"/>
      <c r="Z14" s="476"/>
      <c r="AA14" s="476"/>
      <c r="AB14" s="476"/>
      <c r="AC14" s="476"/>
      <c r="AD14" s="476"/>
      <c r="AE14" s="476"/>
      <c r="AF14" s="476"/>
      <c r="AG14" s="476"/>
      <c r="AH14" s="476"/>
    </row>
    <row r="15" spans="1:34" ht="18" customHeight="1" x14ac:dyDescent="0.25">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25">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1" t="s">
        <v>800</v>
      </c>
      <c r="AC16" s="2149"/>
      <c r="AD16" s="476"/>
      <c r="AE16" s="476"/>
      <c r="AF16" s="476"/>
      <c r="AG16" s="476"/>
      <c r="AH16" s="476"/>
    </row>
    <row r="17" spans="1:34" ht="18" customHeight="1" x14ac:dyDescent="0.25">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85.000000000000014</v>
      </c>
      <c r="R17" s="807" t="s">
        <v>195</v>
      </c>
      <c r="S17" s="839">
        <f>Y18-(SUM(Z18:AC18))</f>
        <v>192.51410256410259</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25">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85</v>
      </c>
      <c r="R18" s="767" t="s">
        <v>195</v>
      </c>
      <c r="S18" s="760">
        <f>Y19-(SUM(Z19:AC19))</f>
        <v>11.932692307692307</v>
      </c>
      <c r="T18" s="852" t="s">
        <v>21</v>
      </c>
      <c r="U18" s="754"/>
      <c r="V18" s="476"/>
      <c r="W18" s="507" t="s">
        <v>247</v>
      </c>
      <c r="X18" s="786"/>
      <c r="Y18" s="254">
        <f>'R-Definição'!$D$14+'R-Definição'!$O$32</f>
        <v>192.51410256410259</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25">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11.932692307692307</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25">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100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25">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25">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25">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25">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25">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25">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25">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25">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25">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25">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25">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25">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25">
      <c r="A33" s="246"/>
      <c r="B33" s="433"/>
      <c r="C33" s="234" t="s">
        <v>278</v>
      </c>
      <c r="D33" s="785" t="s">
        <v>792</v>
      </c>
      <c r="E33" s="567"/>
      <c r="F33" s="567"/>
      <c r="G33" s="566"/>
      <c r="H33" s="634"/>
      <c r="I33" s="781">
        <f>IF($K$40&lt;&gt;0,K33/$K$40*100,0)</f>
        <v>21.795800144822596</v>
      </c>
      <c r="J33" s="255" t="s">
        <v>195</v>
      </c>
      <c r="K33" s="254">
        <f>IF(OR(AND('R-Definição'!E122="Rota atual",'R-Definição'!E123="Aterro sanitário"),'R-Definição'!E122="Rota Futura"),'R-Definição'!N95+'R-Definição'!N96+'R-Definição'!N97+'R-Definição'!N98+'R-Definição'!N99,0)</f>
        <v>49.298397435897442</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25">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25">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25">
      <c r="A36" s="246"/>
      <c r="B36" s="433"/>
      <c r="C36" s="244" t="s">
        <v>248</v>
      </c>
      <c r="D36" s="507" t="s">
        <v>786</v>
      </c>
      <c r="E36" s="507"/>
      <c r="F36" s="507"/>
      <c r="G36" s="132"/>
      <c r="H36" s="132"/>
      <c r="I36" s="501">
        <f>IF($K$40&lt;&gt;0,K36/$K$40*100,0)</f>
        <v>78.204199855177407</v>
      </c>
      <c r="J36" s="255" t="s">
        <v>195</v>
      </c>
      <c r="K36" s="254">
        <f>IF(K37&lt;&gt;0,0,'R-Definição'!I51)</f>
        <v>176.88461538461536</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25">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25">
      <c r="A38" s="246"/>
      <c r="B38" s="433"/>
      <c r="C38" s="244" t="s">
        <v>253</v>
      </c>
      <c r="D38" s="757" t="s">
        <v>787</v>
      </c>
      <c r="E38" s="757"/>
      <c r="F38" s="757"/>
      <c r="G38" s="758"/>
      <c r="H38" s="758"/>
      <c r="I38" s="501">
        <f>IF($K$40&lt;&gt;0,K38/$K$40*100,0)</f>
        <v>0</v>
      </c>
      <c r="J38" s="255" t="s">
        <v>195</v>
      </c>
      <c r="K38" s="254">
        <f>IF('R-Definição'!I29="Biosecagem CDR",'R-Definição'!I52+SUM(AC18:AC19),'R-Definição'!I52)</f>
        <v>0</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25">
      <c r="A39" s="246"/>
      <c r="B39" s="433"/>
      <c r="C39" s="829" t="s">
        <v>280</v>
      </c>
      <c r="D39" s="826" t="s">
        <v>64</v>
      </c>
      <c r="E39" s="825"/>
      <c r="F39" s="825"/>
      <c r="G39" s="697"/>
      <c r="H39" s="763"/>
      <c r="I39" s="781">
        <f>IF($K$40&lt;&gt;0,K39/$K$40*100,0)</f>
        <v>0</v>
      </c>
      <c r="J39" s="255" t="s">
        <v>195</v>
      </c>
      <c r="K39" s="254">
        <f>'R-Definição'!E112</f>
        <v>0</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25">
      <c r="A40" s="246"/>
      <c r="B40" s="433"/>
      <c r="C40" s="259"/>
      <c r="D40" s="147" t="s">
        <v>53</v>
      </c>
      <c r="E40" s="147"/>
      <c r="F40" s="147"/>
      <c r="G40" s="147"/>
      <c r="H40" s="257"/>
      <c r="I40" s="828">
        <f>SUM(I29:I39)</f>
        <v>100</v>
      </c>
      <c r="J40" s="515" t="s">
        <v>195</v>
      </c>
      <c r="K40" s="241">
        <f>SUM(K29:K39)</f>
        <v>226.1830128205128</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25">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25">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25">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25">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25">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25">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25">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25">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25">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25">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25">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25">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25">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25">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25">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25">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25">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25">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25">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25">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25">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25">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25">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25">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25">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25">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25">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25">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25">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25">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25">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25">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25">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25">
      <c r="A74" s="2"/>
      <c r="B74" s="24"/>
      <c r="C74" s="24"/>
      <c r="D74" s="24"/>
      <c r="E74" s="24"/>
      <c r="F74" s="24"/>
      <c r="G74" s="24"/>
      <c r="H74" s="24"/>
      <c r="I74" s="24"/>
      <c r="J74" s="24"/>
      <c r="K74" s="24"/>
      <c r="L74" s="24"/>
      <c r="M74" s="24"/>
      <c r="N74" s="24"/>
      <c r="O74" s="24"/>
      <c r="P74" s="24"/>
      <c r="Q74" s="24"/>
      <c r="R74" s="2"/>
      <c r="S74" s="2"/>
      <c r="T74" s="25"/>
      <c r="U74" s="25"/>
    </row>
    <row r="75" spans="1:34" ht="13.9" customHeight="1" x14ac:dyDescent="0.25">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25">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25">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25">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25">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25">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25">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25">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25">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25">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25">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25">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25">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25">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25">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25">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25">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25">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25">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25">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25">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25">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25">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25">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25">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25">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25">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25">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25">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25">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25">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25">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25">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25">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25">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25">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25">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25">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25">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25">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25">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25">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25">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25">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25">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25">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25">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25">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25">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25">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25">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25">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25">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25">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25">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25">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25">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25">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25">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25">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25">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25">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25">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25">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25">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25">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25">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25">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25">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25">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25">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25">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25">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25">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25">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25">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25">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25">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25">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25">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25">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25">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25">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25">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25">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25">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25">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25">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25">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25">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25">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25">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25">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25">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25">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25">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25">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25">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25">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25">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25">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25">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25">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25">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25">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25">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25">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25">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25">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25">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25">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25">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25">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25">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25">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25">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25">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25">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25">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25">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25">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25">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25">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25">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25">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25">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25">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25">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25">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25">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25">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25">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25">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25">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25">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25">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25">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25">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25">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25">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25">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25">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25">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25">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25">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25">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25">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25">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25">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25">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25">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25">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25">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25">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25">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25">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25">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25">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25">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25">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25">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25">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25">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25">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25">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25">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25">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25">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25">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25">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25">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25">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25">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25">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25">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25">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25">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25">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25">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25">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25">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25">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25">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25">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25">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25">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94"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1008" customWidth="1"/>
    <col min="19" max="19" width="23.42578125" style="1008" customWidth="1"/>
    <col min="20" max="20" width="18.42578125" style="1008" customWidth="1"/>
    <col min="21" max="21" width="31.7109375" style="1008" customWidth="1"/>
    <col min="22" max="22" width="38.28515625" style="1008" customWidth="1"/>
    <col min="23" max="23" width="20.42578125" style="1008" customWidth="1"/>
    <col min="24" max="24" width="13.42578125" style="1008" customWidth="1"/>
    <col min="25" max="25" width="10.42578125" style="1008" customWidth="1"/>
    <col min="26" max="26" width="14.42578125" style="1604" customWidth="1"/>
  </cols>
  <sheetData>
    <row r="1" spans="1:28" ht="4.5" customHeight="1" thickBot="1" x14ac:dyDescent="0.3">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899999999999999" customHeight="1" x14ac:dyDescent="0.25">
      <c r="A2" s="34"/>
      <c r="B2" s="26"/>
      <c r="C2" s="2280" t="s">
        <v>473</v>
      </c>
      <c r="D2" s="2135"/>
      <c r="E2" s="862"/>
      <c r="F2" s="1574" t="s">
        <v>485</v>
      </c>
      <c r="G2" s="2271" t="str">
        <f>IF('R-Definição'!D2&lt;&gt;0,'R-Definição'!D2,"")</f>
        <v>CIRSOP - Consórcio RSU Oeste Paulista</v>
      </c>
      <c r="H2" s="2272"/>
      <c r="I2" s="36"/>
      <c r="J2" s="34"/>
      <c r="K2" s="33"/>
      <c r="L2" s="34"/>
      <c r="M2" s="36"/>
      <c r="N2" s="36"/>
      <c r="O2" s="36"/>
      <c r="P2" s="36"/>
      <c r="Q2" s="36"/>
      <c r="R2" s="988"/>
      <c r="S2" s="989"/>
      <c r="T2" s="989"/>
      <c r="U2" s="989"/>
      <c r="V2" s="989"/>
      <c r="W2" s="989"/>
      <c r="X2" s="989"/>
      <c r="Y2" s="989"/>
      <c r="Z2" s="1597"/>
    </row>
    <row r="3" spans="1:28" ht="19.899999999999999" customHeight="1" thickBot="1" x14ac:dyDescent="0.3">
      <c r="A3" s="34"/>
      <c r="B3" s="26"/>
      <c r="C3" s="2279" t="str">
        <f>Apresentação!I2</f>
        <v>RC-RSU V.1.0 - 15/10/2020</v>
      </c>
      <c r="D3" s="2279"/>
      <c r="E3" s="862"/>
      <c r="F3" s="1575" t="s">
        <v>486</v>
      </c>
      <c r="G3" s="2273" t="str">
        <f>IF('R-Definição'!D3&lt;&gt;0,'R-Definição'!D3,"")</f>
        <v>Biodigestão c/ Prod. E. Elétrica</v>
      </c>
      <c r="H3" s="2274"/>
      <c r="I3" s="36"/>
      <c r="J3" s="34"/>
      <c r="K3" s="33"/>
      <c r="L3" s="34"/>
      <c r="M3" s="36"/>
      <c r="N3" s="36"/>
      <c r="O3" s="36"/>
      <c r="P3" s="36"/>
      <c r="Q3" s="36"/>
      <c r="R3" s="988"/>
      <c r="S3" s="989"/>
      <c r="T3" s="989"/>
      <c r="U3" s="989"/>
      <c r="V3" s="989"/>
      <c r="W3" s="989"/>
      <c r="X3" s="989"/>
      <c r="Y3" s="989"/>
      <c r="Z3" s="1597"/>
    </row>
    <row r="4" spans="1:28" ht="4.9000000000000004" customHeight="1" thickBot="1" x14ac:dyDescent="0.3">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899999999999999" customHeight="1" thickTop="1" x14ac:dyDescent="0.25">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649999999999999" customHeight="1" x14ac:dyDescent="0.25">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649999999999999" customHeight="1" x14ac:dyDescent="0.25">
      <c r="A7" s="1735"/>
      <c r="B7" s="2063" t="s">
        <v>294</v>
      </c>
      <c r="C7" s="2018" t="s">
        <v>21</v>
      </c>
      <c r="D7" s="2019">
        <f>D38</f>
        <v>467.94871794871796</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533.26842603756552</v>
      </c>
      <c r="V7" s="992">
        <f>L59</f>
        <v>167.65389744488391</v>
      </c>
      <c r="W7" s="992">
        <f>L62</f>
        <v>0</v>
      </c>
      <c r="X7" s="992">
        <f>L65</f>
        <v>0</v>
      </c>
      <c r="Y7" s="992">
        <f>L68</f>
        <v>133.450997768669</v>
      </c>
      <c r="Z7" s="992">
        <f>L71</f>
        <v>0</v>
      </c>
      <c r="AA7" s="992">
        <f>L74</f>
        <v>134.41842267796696</v>
      </c>
      <c r="AB7" s="1622"/>
    </row>
    <row r="8" spans="1:28" s="2017" customFormat="1" ht="17.649999999999999" customHeight="1" x14ac:dyDescent="0.25">
      <c r="A8" s="1735"/>
      <c r="B8" s="2063" t="s">
        <v>297</v>
      </c>
      <c r="C8" s="2018" t="s">
        <v>298</v>
      </c>
      <c r="D8" s="2019">
        <f>D40</f>
        <v>146000</v>
      </c>
      <c r="E8" s="1735"/>
      <c r="F8" s="2063" t="s">
        <v>562</v>
      </c>
      <c r="G8" s="2018" t="s">
        <v>292</v>
      </c>
      <c r="H8" s="2015">
        <f>O78</f>
        <v>24.303236260123519</v>
      </c>
      <c r="I8" s="1735"/>
      <c r="J8" s="1735"/>
      <c r="K8" s="2016"/>
      <c r="L8" s="1735"/>
      <c r="M8" s="1735"/>
      <c r="N8" s="1735"/>
      <c r="O8" s="1735"/>
      <c r="P8" s="1735"/>
      <c r="Q8" s="1735"/>
      <c r="R8" s="991" t="s">
        <v>300</v>
      </c>
      <c r="S8" s="1623">
        <v>0</v>
      </c>
      <c r="T8" s="993">
        <f>L52</f>
        <v>0</v>
      </c>
      <c r="U8" s="993">
        <f>L55</f>
        <v>531.56469304703</v>
      </c>
      <c r="V8" s="993">
        <f>L58</f>
        <v>442.1118042057895</v>
      </c>
      <c r="W8" s="993">
        <f>L61</f>
        <v>0</v>
      </c>
      <c r="X8" s="993">
        <f>L64</f>
        <v>0</v>
      </c>
      <c r="Y8" s="993">
        <f>L67</f>
        <v>304.47387675310966</v>
      </c>
      <c r="Z8" s="993">
        <f>L70</f>
        <v>0</v>
      </c>
      <c r="AA8" s="993">
        <f>L73</f>
        <v>251.95644550214709</v>
      </c>
      <c r="AB8" s="1622"/>
    </row>
    <row r="9" spans="1:28" s="2017" customFormat="1" ht="17.649999999999999" customHeight="1" x14ac:dyDescent="0.25">
      <c r="A9" s="1735"/>
      <c r="B9" s="2064" t="s">
        <v>558</v>
      </c>
      <c r="C9" s="2020" t="s">
        <v>298</v>
      </c>
      <c r="D9" s="2022">
        <f>D44</f>
        <v>58921.95</v>
      </c>
      <c r="E9" s="1735"/>
      <c r="F9" s="2064" t="s">
        <v>936</v>
      </c>
      <c r="G9" s="2020" t="s">
        <v>292</v>
      </c>
      <c r="H9" s="2023">
        <f>IF('R-Definição'!$E$121="Existente",((D88+D89)*D44+(D89*D11))/1000000,((D85+D88)*D44+(D89*D11))/1000000)</f>
        <v>2.9460975</v>
      </c>
      <c r="I9" s="1735"/>
      <c r="J9" s="1735"/>
      <c r="K9" s="2016"/>
      <c r="L9" s="1735"/>
      <c r="M9" s="1735"/>
      <c r="N9" s="1735"/>
      <c r="O9" s="1735"/>
      <c r="P9" s="1735"/>
      <c r="Q9" s="1735"/>
      <c r="R9" s="991" t="s">
        <v>301</v>
      </c>
      <c r="S9" s="1623">
        <f>L92</f>
        <v>42.800000000000004</v>
      </c>
      <c r="T9" s="992">
        <f>P53</f>
        <v>0</v>
      </c>
      <c r="U9" s="992">
        <f>P56</f>
        <v>82.769105054330879</v>
      </c>
      <c r="V9" s="992">
        <f>P59</f>
        <v>18.39372050609979</v>
      </c>
      <c r="W9" s="992">
        <f>P62</f>
        <v>0</v>
      </c>
      <c r="X9" s="992">
        <f>P65</f>
        <v>0</v>
      </c>
      <c r="Y9" s="992">
        <f>P68</f>
        <v>13.937739378196657</v>
      </c>
      <c r="Z9" s="992">
        <f>P71</f>
        <v>0</v>
      </c>
      <c r="AA9" s="992">
        <f>IF('R-Definição'!E121="Novo",P74,(D44+D46)*D89/D40)</f>
        <v>51.359957390985812</v>
      </c>
      <c r="AB9" s="1622"/>
    </row>
    <row r="10" spans="1:28" s="2017" customFormat="1" ht="17.649999999999999" customHeight="1" x14ac:dyDescent="0.25">
      <c r="A10" s="1735"/>
      <c r="B10" s="2063" t="s">
        <v>715</v>
      </c>
      <c r="C10" s="2018" t="s">
        <v>195</v>
      </c>
      <c r="D10" s="2024">
        <f>D45</f>
        <v>0.59642499999999998</v>
      </c>
      <c r="E10" s="1735"/>
      <c r="F10" s="2064" t="str">
        <f>IF(D24="Sim","Custo Total Rota Tecnológica COM Coleta","Custo Total Rota Tecnológica SEM Coleta")</f>
        <v>Custo Total Rota Tecnológica SEM Coleta</v>
      </c>
      <c r="G10" s="2020" t="s">
        <v>292</v>
      </c>
      <c r="H10" s="2025">
        <f>H6+H8+H9</f>
        <v>27.24933376012352</v>
      </c>
      <c r="I10" s="1735"/>
      <c r="J10" s="1735"/>
      <c r="K10" s="2016"/>
      <c r="L10" s="1735"/>
      <c r="M10" s="1735"/>
      <c r="N10" s="1735"/>
      <c r="O10" s="1735"/>
      <c r="P10" s="1735"/>
      <c r="Q10" s="1735"/>
      <c r="R10" s="991" t="s">
        <v>302</v>
      </c>
      <c r="S10" s="1623">
        <v>0</v>
      </c>
      <c r="T10" s="993">
        <f>P52</f>
        <v>0</v>
      </c>
      <c r="U10" s="993">
        <f>P55</f>
        <v>82.50466701901351</v>
      </c>
      <c r="V10" s="993">
        <f>P58</f>
        <v>48.505170967959288</v>
      </c>
      <c r="W10" s="993">
        <f>P61</f>
        <v>0</v>
      </c>
      <c r="X10" s="993">
        <f>P64</f>
        <v>0</v>
      </c>
      <c r="Y10" s="993">
        <f>P67</f>
        <v>31.799519019035188</v>
      </c>
      <c r="Z10" s="993">
        <f>P70</f>
        <v>0</v>
      </c>
      <c r="AA10" s="992">
        <f>IF('R-Definição'!E121="Novo",P73,D89)</f>
        <v>96.270080005154213</v>
      </c>
      <c r="AB10" s="1622"/>
    </row>
    <row r="11" spans="1:28" s="2017" customFormat="1" ht="17.649999999999999" customHeight="1" x14ac:dyDescent="0.25">
      <c r="A11" s="1735"/>
      <c r="B11" s="2064" t="s">
        <v>559</v>
      </c>
      <c r="C11" s="2020" t="s">
        <v>298</v>
      </c>
      <c r="D11" s="2022">
        <f>'R-Fluxo Massa'!AS49*312</f>
        <v>0</v>
      </c>
      <c r="E11" s="1735"/>
      <c r="F11" s="2063" t="s">
        <v>1113</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51.029223125909816</v>
      </c>
      <c r="V11" s="994">
        <f>IF(V12&gt;0,($L44*$D112+$L46*$D111)/(V12*312),0)</f>
        <v>51.334528479498402</v>
      </c>
      <c r="W11" s="994">
        <f>IF(W12&gt;0,($L45*$D112+$L47*$D111)/(W12*312),0)</f>
        <v>0</v>
      </c>
      <c r="X11" s="994">
        <f>IF(X12&gt;0,($P42*$D114+$P45*$D117)/(X12*312),0)</f>
        <v>0</v>
      </c>
      <c r="Y11" s="994">
        <f>IF(Y12&gt;0,($L48*$D108+$L49*$D109)/(Y12*312),0)</f>
        <v>0</v>
      </c>
      <c r="Z11" s="994">
        <f>IF(Z12&gt;0,($P43*$D114)/(Z12*312),0)</f>
        <v>0</v>
      </c>
      <c r="AA11" s="994">
        <f>IF(AA12&gt;0,($P44*$D114+$P46*$D117)/(AA12*312),0)</f>
        <v>0</v>
      </c>
      <c r="AB11" s="1622"/>
    </row>
    <row r="12" spans="1:28" s="2017" customFormat="1" ht="17.649999999999999" customHeight="1" x14ac:dyDescent="0.25">
      <c r="A12" s="1735"/>
      <c r="B12" s="2063" t="s">
        <v>560</v>
      </c>
      <c r="C12" s="2018" t="s">
        <v>195</v>
      </c>
      <c r="D12" s="2024">
        <f>(D16)/D8</f>
        <v>8.6464214998186184E-2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27.24933376012352</v>
      </c>
      <c r="I12" s="1735"/>
      <c r="J12" s="1735"/>
      <c r="K12" s="2016"/>
      <c r="L12" s="1735"/>
      <c r="M12" s="1735"/>
      <c r="N12" s="1735"/>
      <c r="O12" s="1735"/>
      <c r="P12" s="1735"/>
      <c r="Q12" s="1735"/>
      <c r="R12" s="991" t="s">
        <v>303</v>
      </c>
      <c r="S12" s="1623">
        <f>D38</f>
        <v>467.94871794871796</v>
      </c>
      <c r="T12" s="992">
        <f>$H52/312</f>
        <v>0</v>
      </c>
      <c r="U12" s="992">
        <f>$H55/312</f>
        <v>469.44855358316909</v>
      </c>
      <c r="V12" s="992">
        <f>$H58/312</f>
        <v>177.45155325443784</v>
      </c>
      <c r="W12" s="992">
        <f>$H61/312</f>
        <v>0</v>
      </c>
      <c r="X12" s="992">
        <f>$H64/312</f>
        <v>0</v>
      </c>
      <c r="Y12" s="992">
        <f>$H67/312</f>
        <v>205.10207306048656</v>
      </c>
      <c r="Z12" s="992">
        <f>$H70/312</f>
        <v>0</v>
      </c>
      <c r="AA12" s="992">
        <f>(D44+D46)/312</f>
        <v>188.85240384615383</v>
      </c>
      <c r="AB12" s="1622"/>
    </row>
    <row r="13" spans="1:28" s="2017" customFormat="1" ht="17.649999999999999" customHeight="1" thickBot="1" x14ac:dyDescent="0.3">
      <c r="A13" s="1735"/>
      <c r="B13" s="2065" t="s">
        <v>937</v>
      </c>
      <c r="C13" s="2026" t="s">
        <v>195</v>
      </c>
      <c r="D13" s="2027">
        <f>D16/((SUM('R-Entrada'!G28:G33))*312)</f>
        <v>0.2710476959190789</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186.63927232961316</v>
      </c>
      <c r="I13" s="1735"/>
      <c r="J13" s="1735"/>
      <c r="K13" s="2016"/>
      <c r="L13" s="1735"/>
      <c r="M13" s="1735"/>
      <c r="N13" s="1735"/>
      <c r="O13" s="1735"/>
      <c r="P13" s="1735"/>
      <c r="Q13" s="1735"/>
      <c r="R13" s="1617"/>
      <c r="S13" s="1618"/>
      <c r="T13" s="1618"/>
      <c r="U13" s="1618"/>
      <c r="V13" s="1618"/>
      <c r="W13" s="1618"/>
      <c r="X13" s="1618"/>
      <c r="Y13" s="1618"/>
      <c r="Z13" s="1618"/>
      <c r="AA13" s="1621"/>
    </row>
    <row r="14" spans="1:28" ht="4.9000000000000004" customHeight="1" thickTop="1" thickBot="1" x14ac:dyDescent="0.3">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899999999999999" customHeight="1" thickTop="1" x14ac:dyDescent="0.25">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649999999999999" customHeight="1" x14ac:dyDescent="0.25">
      <c r="A16" s="1735"/>
      <c r="B16" s="2064" t="s">
        <v>564</v>
      </c>
      <c r="C16" s="2029" t="s">
        <v>298</v>
      </c>
      <c r="D16" s="2030">
        <f>H36</f>
        <v>12623.775389735183</v>
      </c>
      <c r="E16" s="65"/>
      <c r="F16" s="2063" t="s">
        <v>565</v>
      </c>
      <c r="G16" s="2031" t="s">
        <v>304</v>
      </c>
      <c r="H16" s="2015">
        <f>K78</f>
        <v>141.44359461364644</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649999999999999" customHeight="1" x14ac:dyDescent="0.25">
      <c r="A17" s="1735"/>
      <c r="B17" s="2064" t="s">
        <v>566</v>
      </c>
      <c r="C17" s="2029" t="s">
        <v>298</v>
      </c>
      <c r="D17" s="2030">
        <f>SUM(P36:P41)</f>
        <v>0</v>
      </c>
      <c r="E17" s="65"/>
      <c r="F17" s="2063" t="s">
        <v>567</v>
      </c>
      <c r="G17" s="2031" t="s">
        <v>195</v>
      </c>
      <c r="H17" s="2032">
        <f>G76</f>
        <v>0.35406139156348421</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649999999999999" customHeight="1" x14ac:dyDescent="0.25">
      <c r="A18" s="1735"/>
      <c r="B18" s="2064" t="s">
        <v>989</v>
      </c>
      <c r="C18" s="2029" t="s">
        <v>298</v>
      </c>
      <c r="D18" s="2030">
        <f>H37+H38</f>
        <v>31120.970037603587</v>
      </c>
      <c r="E18" s="65"/>
      <c r="F18" s="2064" t="s">
        <v>568</v>
      </c>
      <c r="G18" s="2029" t="s">
        <v>305</v>
      </c>
      <c r="H18" s="2022">
        <f>H24*1000000/D40</f>
        <v>1406.7314318742813</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649999999999999" customHeight="1" x14ac:dyDescent="0.25">
      <c r="A19" s="1735"/>
      <c r="B19" s="2064" t="s">
        <v>569</v>
      </c>
      <c r="C19" s="2029" t="s">
        <v>298</v>
      </c>
      <c r="D19" s="2030">
        <f>H39+H40</f>
        <v>28421.302460526043</v>
      </c>
      <c r="E19" s="65"/>
      <c r="F19" s="2064" t="str">
        <f>J77</f>
        <v>Reinvestimento Total Rota (cada 5 anos)</v>
      </c>
      <c r="G19" s="2033" t="s">
        <v>304</v>
      </c>
      <c r="H19" s="2034">
        <f>K77</f>
        <v>3.1769560393322624</v>
      </c>
      <c r="I19" s="1735"/>
      <c r="J19" s="1735"/>
      <c r="K19" s="2016"/>
      <c r="L19" s="1735"/>
      <c r="M19" s="1735"/>
      <c r="N19" s="1735"/>
      <c r="O19" s="1735"/>
      <c r="P19" s="1735"/>
      <c r="Q19" s="1735"/>
      <c r="R19" s="988"/>
      <c r="S19" s="989"/>
      <c r="T19" s="989"/>
      <c r="U19" s="989"/>
      <c r="V19" s="989"/>
      <c r="W19" s="989"/>
      <c r="X19" s="989"/>
      <c r="Y19" s="989"/>
      <c r="Z19" s="1597"/>
    </row>
    <row r="20" spans="1:26" s="2017" customFormat="1" ht="17.649999999999999" customHeight="1" x14ac:dyDescent="0.25">
      <c r="A20" s="1735"/>
      <c r="B20" s="2064" t="s">
        <v>570</v>
      </c>
      <c r="C20" s="2029" t="s">
        <v>306</v>
      </c>
      <c r="D20" s="2030">
        <f>H41</f>
        <v>0</v>
      </c>
      <c r="E20" s="65"/>
      <c r="F20" s="2066" t="s">
        <v>571</v>
      </c>
      <c r="G20" s="2035" t="s">
        <v>304</v>
      </c>
      <c r="H20" s="2036">
        <f>K75</f>
        <v>23.82885837981302</v>
      </c>
      <c r="I20" s="1735"/>
      <c r="J20" s="1735"/>
      <c r="K20" s="2016"/>
      <c r="L20" s="1735"/>
      <c r="M20" s="1735"/>
      <c r="N20" s="1735"/>
      <c r="O20" s="1735"/>
      <c r="P20" s="1735"/>
      <c r="Q20" s="1735"/>
      <c r="R20" s="988"/>
      <c r="S20" s="989"/>
      <c r="T20" s="989"/>
      <c r="U20" s="989"/>
      <c r="V20" s="989"/>
      <c r="W20" s="989"/>
      <c r="X20" s="989"/>
      <c r="Y20" s="989"/>
      <c r="Z20" s="1597"/>
    </row>
    <row r="21" spans="1:26" s="2017" customFormat="1" ht="17.649999999999999" customHeight="1" thickBot="1" x14ac:dyDescent="0.3">
      <c r="A21" s="1735"/>
      <c r="B21" s="2065" t="s">
        <v>572</v>
      </c>
      <c r="C21" s="2037" t="s">
        <v>307</v>
      </c>
      <c r="D21" s="2038">
        <f>H42</f>
        <v>0</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000000000000004" customHeight="1" thickTop="1" thickBot="1" x14ac:dyDescent="0.3">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899999999999999" customHeight="1" thickTop="1" x14ac:dyDescent="0.25">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649999999999999" customHeight="1" x14ac:dyDescent="0.25">
      <c r="A24" s="1735"/>
      <c r="B24" s="2063" t="s">
        <v>575</v>
      </c>
      <c r="C24" s="2041" t="s">
        <v>308</v>
      </c>
      <c r="D24" s="2042" t="s">
        <v>7</v>
      </c>
      <c r="E24" s="1735"/>
      <c r="F24" s="2063" t="s">
        <v>954</v>
      </c>
      <c r="G24" s="2031" t="s">
        <v>304</v>
      </c>
      <c r="H24" s="2043">
        <f>'C-FCL Real'!G11</f>
        <v>205.38278905364507</v>
      </c>
      <c r="I24" s="1735"/>
      <c r="J24" s="1735"/>
      <c r="K24" s="2016"/>
      <c r="L24" s="1735"/>
      <c r="M24" s="1735"/>
      <c r="N24" s="1735"/>
      <c r="O24" s="1735"/>
      <c r="P24" s="1735"/>
      <c r="Q24" s="1735"/>
      <c r="R24" s="988"/>
      <c r="S24" s="989"/>
      <c r="T24" s="989"/>
      <c r="U24" s="989"/>
      <c r="V24" s="989"/>
      <c r="W24" s="989"/>
      <c r="X24" s="989"/>
      <c r="Y24" s="989"/>
      <c r="Z24" s="1597"/>
    </row>
    <row r="25" spans="1:26" s="2017" customFormat="1" ht="17.649999999999999" customHeight="1" thickBot="1" x14ac:dyDescent="0.3">
      <c r="A25" s="1735"/>
      <c r="B25" s="2063" t="s">
        <v>576</v>
      </c>
      <c r="C25" s="2041" t="s">
        <v>308</v>
      </c>
      <c r="D25" s="2042" t="s">
        <v>7</v>
      </c>
      <c r="E25" s="1735"/>
      <c r="F25" s="2071" t="s">
        <v>1109</v>
      </c>
      <c r="G25" s="2059" t="s">
        <v>195</v>
      </c>
      <c r="H25" s="2060">
        <f>'C-FCL Real'!C28</f>
        <v>9.74E-2</v>
      </c>
      <c r="I25" s="1735"/>
      <c r="J25" s="1735"/>
      <c r="K25" s="2016"/>
      <c r="L25" s="1735"/>
      <c r="M25" s="1735"/>
      <c r="N25" s="1735"/>
      <c r="O25" s="1735"/>
      <c r="P25" s="1735"/>
      <c r="Q25" s="1735"/>
      <c r="R25" s="988"/>
      <c r="S25" s="989"/>
      <c r="T25" s="989"/>
      <c r="U25" s="989"/>
      <c r="V25" s="989"/>
      <c r="W25" s="989"/>
      <c r="X25" s="989"/>
      <c r="Y25" s="989"/>
      <c r="Z25" s="1597"/>
    </row>
    <row r="26" spans="1:26" s="2017" customFormat="1" ht="17.649999999999999" customHeight="1" x14ac:dyDescent="0.25">
      <c r="A26" s="1735"/>
      <c r="B26" s="2064" t="s">
        <v>953</v>
      </c>
      <c r="C26" s="2033" t="s">
        <v>195</v>
      </c>
      <c r="D26" s="2044">
        <v>1</v>
      </c>
      <c r="E26" s="1735"/>
      <c r="F26" s="2072" t="str">
        <f>'C-FCL Real'!K28</f>
        <v>Índice de Retorno do Inv.: Pay Back</v>
      </c>
      <c r="G26" s="2057" t="s">
        <v>309</v>
      </c>
      <c r="H26" s="2058">
        <f>'C-FCL Real'!H13</f>
        <v>35.234385344353349</v>
      </c>
      <c r="I26" s="1735"/>
      <c r="J26" s="1735"/>
      <c r="K26" s="2016"/>
      <c r="L26" s="1735"/>
      <c r="M26" s="1735"/>
      <c r="N26" s="1735"/>
      <c r="O26" s="1735"/>
      <c r="P26" s="1735"/>
      <c r="Q26" s="1735"/>
      <c r="R26" s="988"/>
      <c r="S26" s="989"/>
      <c r="T26" s="989"/>
      <c r="U26" s="989"/>
      <c r="V26" s="989"/>
      <c r="W26" s="989"/>
      <c r="X26" s="989"/>
      <c r="Y26" s="989"/>
      <c r="Z26" s="1597"/>
    </row>
    <row r="27" spans="1:26" s="2017" customFormat="1" ht="17.649999999999999" customHeight="1" x14ac:dyDescent="0.25">
      <c r="A27" s="1735"/>
      <c r="B27" s="2068" t="s">
        <v>577</v>
      </c>
      <c r="C27" s="2033" t="s">
        <v>195</v>
      </c>
      <c r="D27" s="2045">
        <v>4.7000000000000002E-3</v>
      </c>
      <c r="E27" s="1735"/>
      <c r="F27" s="2063" t="str">
        <f>'C-FCL Real'!K26</f>
        <v>Índice de Retorno do Inv.: VPL</v>
      </c>
      <c r="G27" s="2031" t="s">
        <v>304</v>
      </c>
      <c r="H27" s="2046">
        <f>'C-FCL Real'!H8</f>
        <v>4.6185277824406512E-14</v>
      </c>
      <c r="I27" s="1735"/>
      <c r="J27" s="1735"/>
      <c r="K27" s="2016"/>
      <c r="L27" s="1735"/>
      <c r="M27" s="1735"/>
      <c r="N27" s="1735"/>
      <c r="O27" s="1735"/>
      <c r="P27" s="1735"/>
      <c r="Q27" s="1735"/>
      <c r="R27" s="988"/>
      <c r="S27" s="989"/>
      <c r="T27" s="989"/>
      <c r="U27" s="989"/>
      <c r="V27" s="989"/>
      <c r="W27" s="989"/>
      <c r="X27" s="989"/>
      <c r="Y27" s="989"/>
      <c r="Z27" s="1597"/>
    </row>
    <row r="28" spans="1:26" s="2017" customFormat="1" ht="17.649999999999999" customHeight="1" x14ac:dyDescent="0.25">
      <c r="A28" s="1735"/>
      <c r="B28" s="2064" t="s">
        <v>1110</v>
      </c>
      <c r="C28" s="2033" t="s">
        <v>292</v>
      </c>
      <c r="D28" s="2047">
        <v>1</v>
      </c>
      <c r="E28" s="1735"/>
      <c r="F28" s="2064" t="str">
        <f>'C-FCL Real'!K27</f>
        <v>Índice de Retorno do Inv.: TIR</v>
      </c>
      <c r="G28" s="2033" t="s">
        <v>195</v>
      </c>
      <c r="H28" s="2048">
        <f>'C-FCL Real'!H9</f>
        <v>0.26309959438654507</v>
      </c>
      <c r="I28" s="1735"/>
      <c r="J28" s="1735"/>
      <c r="K28" s="2016"/>
      <c r="L28" s="1735"/>
      <c r="M28" s="1735"/>
      <c r="N28" s="1735"/>
      <c r="O28" s="1735"/>
      <c r="P28" s="1735"/>
      <c r="Q28" s="1735"/>
      <c r="R28" s="988"/>
      <c r="S28" s="989"/>
      <c r="T28" s="989"/>
      <c r="U28" s="989"/>
      <c r="V28" s="989"/>
      <c r="W28" s="989"/>
      <c r="X28" s="989"/>
      <c r="Y28" s="989"/>
      <c r="Z28" s="1597"/>
    </row>
    <row r="29" spans="1:26" s="2017" customFormat="1" ht="17.649999999999999" customHeight="1" thickBot="1" x14ac:dyDescent="0.3">
      <c r="A29" s="1735"/>
      <c r="B29" s="2064" t="s">
        <v>1111</v>
      </c>
      <c r="C29" s="2033" t="s">
        <v>304</v>
      </c>
      <c r="D29" s="2047">
        <v>0</v>
      </c>
      <c r="E29" s="1735"/>
      <c r="F29" s="2073" t="str">
        <f>'C-FCL Real'!O26</f>
        <v>Taxa de Lucratividade do Investimento</v>
      </c>
      <c r="G29" s="2049" t="s">
        <v>195</v>
      </c>
      <c r="H29" s="2050">
        <f>'C-FCL Real'!H14</f>
        <v>1.0000000000000002</v>
      </c>
      <c r="I29" s="1735"/>
      <c r="J29" s="1735"/>
      <c r="K29" s="2016"/>
      <c r="L29" s="1735"/>
      <c r="M29" s="1735"/>
      <c r="N29" s="1735"/>
      <c r="O29" s="1735"/>
      <c r="P29" s="1735"/>
      <c r="Q29" s="1735"/>
      <c r="R29" s="988"/>
      <c r="S29" s="989"/>
      <c r="T29" s="989"/>
      <c r="U29" s="989"/>
      <c r="V29" s="989"/>
      <c r="W29" s="989"/>
      <c r="X29" s="989"/>
      <c r="Y29" s="989"/>
      <c r="Z29" s="1597"/>
    </row>
    <row r="30" spans="1:26" s="2017" customFormat="1" ht="17.649999999999999" customHeight="1" x14ac:dyDescent="0.25">
      <c r="A30" s="1735"/>
      <c r="B30" s="2069" t="s">
        <v>1112</v>
      </c>
      <c r="C30" s="2051" t="s">
        <v>304</v>
      </c>
      <c r="D30" s="2052">
        <v>0</v>
      </c>
      <c r="E30" s="1735"/>
      <c r="F30" s="2074" t="s">
        <v>955</v>
      </c>
      <c r="G30" s="2061" t="s">
        <v>311</v>
      </c>
      <c r="H30" s="2062">
        <f>D32*(D8*H33+D31*312*H31)/1000000000</f>
        <v>1.3641255016387215</v>
      </c>
      <c r="I30" s="1735"/>
      <c r="J30" s="1735"/>
      <c r="K30" s="2016"/>
      <c r="L30" s="1735"/>
      <c r="M30" s="1735"/>
      <c r="N30" s="1735"/>
      <c r="O30" s="1735"/>
      <c r="P30" s="1735"/>
      <c r="Q30" s="1735"/>
      <c r="R30" s="988"/>
      <c r="S30" s="989"/>
      <c r="T30" s="989"/>
      <c r="U30" s="989"/>
      <c r="V30" s="989"/>
      <c r="W30" s="989"/>
      <c r="X30" s="989"/>
      <c r="Y30" s="989"/>
      <c r="Z30" s="1597"/>
    </row>
    <row r="31" spans="1:26" ht="19.899999999999999" customHeight="1" thickBot="1" x14ac:dyDescent="0.3">
      <c r="A31" s="36"/>
      <c r="B31" s="2070" t="s">
        <v>1105</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96.270080005154213</v>
      </c>
      <c r="I31" s="36"/>
      <c r="J31" s="36"/>
      <c r="K31" s="32"/>
      <c r="L31" s="36"/>
      <c r="M31" s="36"/>
      <c r="N31" s="36"/>
      <c r="O31" s="36"/>
      <c r="P31" s="36"/>
      <c r="Q31" s="36"/>
      <c r="R31" s="988"/>
      <c r="S31" s="989"/>
      <c r="T31" s="989"/>
      <c r="U31" s="989"/>
      <c r="V31" s="989"/>
      <c r="W31" s="989"/>
      <c r="X31" s="989"/>
      <c r="Y31" s="989"/>
      <c r="Z31" s="1597"/>
    </row>
    <row r="32" spans="1:26" ht="19.899999999999999" customHeight="1" thickTop="1" x14ac:dyDescent="0.25">
      <c r="A32" s="34"/>
      <c r="B32" s="2076" t="s">
        <v>655</v>
      </c>
      <c r="C32" s="2007" t="s">
        <v>309</v>
      </c>
      <c r="D32" s="2098">
        <v>35</v>
      </c>
      <c r="E32" s="1079"/>
      <c r="F32" s="2076" t="s">
        <v>1114</v>
      </c>
      <c r="G32" s="2007" t="s">
        <v>1107</v>
      </c>
      <c r="H32" s="2079">
        <f>'C-Calc Tarifa'!M32</f>
        <v>20.448793800621704</v>
      </c>
      <c r="I32" s="36"/>
      <c r="J32" s="34"/>
      <c r="K32" s="33"/>
      <c r="L32" s="34"/>
      <c r="M32" s="36"/>
      <c r="N32" s="36"/>
      <c r="O32" s="36"/>
      <c r="P32" s="36"/>
      <c r="Q32" s="36"/>
      <c r="R32" s="988"/>
      <c r="S32" s="989"/>
      <c r="T32" s="989"/>
      <c r="U32" s="989"/>
      <c r="V32" s="989"/>
      <c r="W32" s="989"/>
      <c r="X32" s="989"/>
      <c r="Y32" s="989"/>
      <c r="Z32" s="1597"/>
    </row>
    <row r="33" spans="1:26" ht="19.899999999999999" customHeight="1" thickBot="1" x14ac:dyDescent="0.3">
      <c r="A33" s="36"/>
      <c r="B33" s="2077" t="s">
        <v>1106</v>
      </c>
      <c r="C33" s="2008" t="s">
        <v>295</v>
      </c>
      <c r="D33" s="2009">
        <v>237.54494967426146</v>
      </c>
      <c r="E33" s="1079"/>
      <c r="F33" s="2078" t="s">
        <v>1108</v>
      </c>
      <c r="G33" s="2055" t="s">
        <v>295</v>
      </c>
      <c r="H33" s="2056">
        <v>254.60848243040007</v>
      </c>
      <c r="I33" s="36"/>
      <c r="J33" s="36"/>
      <c r="K33" s="32"/>
      <c r="L33" s="36"/>
      <c r="M33" s="36"/>
      <c r="N33" s="36"/>
      <c r="O33" s="36"/>
      <c r="P33" s="36"/>
      <c r="Q33" s="36"/>
      <c r="R33" s="988"/>
      <c r="S33" s="989"/>
      <c r="T33" s="989"/>
      <c r="U33" s="989"/>
      <c r="V33" s="989"/>
      <c r="W33" s="989"/>
      <c r="X33" s="989"/>
      <c r="Y33" s="989"/>
      <c r="Z33" s="1597"/>
    </row>
    <row r="34" spans="1:26" ht="25.15" customHeight="1" thickTop="1" thickBot="1" x14ac:dyDescent="0.3">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899999999999999" customHeight="1" collapsed="1" thickTop="1" x14ac:dyDescent="0.25">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649999999999999" hidden="1" customHeight="1" outlineLevel="1" x14ac:dyDescent="0.25">
      <c r="A36" s="43"/>
      <c r="B36" s="1520" t="s">
        <v>290</v>
      </c>
      <c r="C36" s="271" t="s">
        <v>291</v>
      </c>
      <c r="D36" s="1533">
        <f>'R-Entrada'!E8</f>
        <v>411597</v>
      </c>
      <c r="E36" s="151"/>
      <c r="F36" s="1520" t="s">
        <v>891</v>
      </c>
      <c r="G36" s="271" t="s">
        <v>298</v>
      </c>
      <c r="H36" s="1531">
        <f>SUM(L36:L43)+SUM(P36:P41)</f>
        <v>12623.775389735183</v>
      </c>
      <c r="I36" s="151"/>
      <c r="J36" s="1520" t="s">
        <v>898</v>
      </c>
      <c r="K36" s="271" t="s">
        <v>298</v>
      </c>
      <c r="L36" s="1531">
        <f>('R-Resumo Bal. Massa'!F58+'R-Resumo Bal. Massa'!G58)*312*D48/D8</f>
        <v>5184.0582321483053</v>
      </c>
      <c r="M36" s="151"/>
      <c r="N36" s="1520" t="s">
        <v>912</v>
      </c>
      <c r="O36" s="271" t="s">
        <v>298</v>
      </c>
      <c r="P36" s="1531">
        <f>'R-Resumo Bal. Massa'!E58*312*D48/D8</f>
        <v>0</v>
      </c>
      <c r="Q36" s="194"/>
      <c r="R36" s="988"/>
      <c r="S36" s="989"/>
      <c r="T36" s="989"/>
      <c r="U36" s="989"/>
      <c r="V36" s="989"/>
      <c r="W36" s="989"/>
      <c r="X36" s="989"/>
      <c r="Y36" s="989"/>
      <c r="Z36" s="1597"/>
    </row>
    <row r="37" spans="1:26" ht="17.649999999999999" hidden="1" customHeight="1" outlineLevel="1" x14ac:dyDescent="0.25">
      <c r="A37" s="43"/>
      <c r="B37" s="1520" t="s">
        <v>758</v>
      </c>
      <c r="C37" s="1483" t="s">
        <v>759</v>
      </c>
      <c r="D37" s="1534">
        <f>D38*1000*312/D36/365</f>
        <v>0.97182438161599816</v>
      </c>
      <c r="E37" s="151"/>
      <c r="F37" s="1520" t="s">
        <v>892</v>
      </c>
      <c r="G37" s="1483" t="s">
        <v>298</v>
      </c>
      <c r="H37" s="1531">
        <f>L48</f>
        <v>31120.970037603587</v>
      </c>
      <c r="I37" s="151"/>
      <c r="J37" s="1520" t="s">
        <v>899</v>
      </c>
      <c r="K37" s="1483" t="s">
        <v>298</v>
      </c>
      <c r="L37" s="1531">
        <f>('R-Resumo Bal. Massa'!F59+'R-Resumo Bal. Massa'!G59)*312*D48/D8</f>
        <v>3521.9937607725124</v>
      </c>
      <c r="M37" s="151"/>
      <c r="N37" s="1520" t="s">
        <v>913</v>
      </c>
      <c r="O37" s="1483" t="s">
        <v>298</v>
      </c>
      <c r="P37" s="1531">
        <f>'R-Resumo Bal. Massa'!E59*312*D48/D8</f>
        <v>0</v>
      </c>
      <c r="Q37" s="194"/>
      <c r="R37" s="988"/>
      <c r="S37" s="989"/>
      <c r="T37" s="989"/>
      <c r="U37" s="989"/>
      <c r="V37" s="989"/>
      <c r="W37" s="989"/>
      <c r="X37" s="989"/>
      <c r="Y37" s="989"/>
      <c r="Z37" s="1597"/>
    </row>
    <row r="38" spans="1:26" ht="17.649999999999999" hidden="1" customHeight="1" outlineLevel="1" x14ac:dyDescent="0.25">
      <c r="A38" s="43"/>
      <c r="B38" s="1520" t="s">
        <v>294</v>
      </c>
      <c r="C38" s="1483" t="s">
        <v>21</v>
      </c>
      <c r="D38" s="1531">
        <f>'R-Entrada'!E14</f>
        <v>467.94871794871796</v>
      </c>
      <c r="E38" s="151"/>
      <c r="F38" s="1520" t="s">
        <v>893</v>
      </c>
      <c r="G38" s="1483" t="s">
        <v>298</v>
      </c>
      <c r="H38" s="1531">
        <f>L49</f>
        <v>0</v>
      </c>
      <c r="I38" s="151"/>
      <c r="J38" s="1520" t="s">
        <v>900</v>
      </c>
      <c r="K38" s="1483" t="s">
        <v>298</v>
      </c>
      <c r="L38" s="1531">
        <f>('R-Resumo Bal. Massa'!F60+'R-Resumo Bal. Massa'!G60)*312*D48/D8</f>
        <v>1820.3563257925346</v>
      </c>
      <c r="M38" s="151"/>
      <c r="N38" s="1520" t="s">
        <v>914</v>
      </c>
      <c r="O38" s="1483" t="s">
        <v>298</v>
      </c>
      <c r="P38" s="1531">
        <f>'R-Resumo Bal. Massa'!E60*312*D48/D8</f>
        <v>0</v>
      </c>
      <c r="Q38" s="194"/>
      <c r="R38" s="988"/>
      <c r="S38" s="989"/>
      <c r="T38" s="989"/>
      <c r="U38" s="989"/>
      <c r="V38" s="989"/>
      <c r="W38" s="989"/>
      <c r="X38" s="989"/>
      <c r="Y38" s="989"/>
      <c r="Z38" s="1597"/>
    </row>
    <row r="39" spans="1:26" ht="17.649999999999999" hidden="1" customHeight="1" outlineLevel="1" x14ac:dyDescent="0.25">
      <c r="A39" s="43"/>
      <c r="B39" s="1520" t="s">
        <v>312</v>
      </c>
      <c r="C39" s="1483" t="s">
        <v>313</v>
      </c>
      <c r="D39" s="1531">
        <f>D40/12</f>
        <v>12166.666666666666</v>
      </c>
      <c r="E39" s="151"/>
      <c r="F39" s="1520" t="s">
        <v>894</v>
      </c>
      <c r="G39" s="1483" t="s">
        <v>298</v>
      </c>
      <c r="H39" s="1531">
        <f>L44+L45</f>
        <v>28421.302460526043</v>
      </c>
      <c r="I39" s="151"/>
      <c r="J39" s="1520" t="s">
        <v>901</v>
      </c>
      <c r="K39" s="1483" t="s">
        <v>298</v>
      </c>
      <c r="L39" s="1531">
        <f>('R-Resumo Bal. Massa'!F61+'R-Resumo Bal. Massa'!G61)*312*D48/D8</f>
        <v>949.75112650045298</v>
      </c>
      <c r="M39" s="151"/>
      <c r="N39" s="1520" t="s">
        <v>915</v>
      </c>
      <c r="O39" s="1483" t="s">
        <v>298</v>
      </c>
      <c r="P39" s="1531">
        <f>'R-Resumo Bal. Massa'!E61*312*D48/D8</f>
        <v>0</v>
      </c>
      <c r="Q39" s="194"/>
      <c r="R39" s="988"/>
      <c r="S39" s="989"/>
      <c r="T39" s="989"/>
      <c r="U39" s="989"/>
      <c r="V39" s="989"/>
      <c r="W39" s="989"/>
      <c r="X39" s="989"/>
      <c r="Y39" s="989"/>
      <c r="Z39" s="1597"/>
    </row>
    <row r="40" spans="1:26" ht="17.649999999999999" hidden="1" customHeight="1" outlineLevel="1" x14ac:dyDescent="0.25">
      <c r="A40" s="43"/>
      <c r="B40" s="1520" t="s">
        <v>297</v>
      </c>
      <c r="C40" s="1483" t="s">
        <v>298</v>
      </c>
      <c r="D40" s="1531">
        <f>D38*312</f>
        <v>146000</v>
      </c>
      <c r="E40" s="151"/>
      <c r="F40" s="1520" t="s">
        <v>895</v>
      </c>
      <c r="G40" s="1483" t="s">
        <v>298</v>
      </c>
      <c r="H40" s="1531">
        <f>L46+L47</f>
        <v>0</v>
      </c>
      <c r="I40" s="151"/>
      <c r="J40" s="1520" t="s">
        <v>902</v>
      </c>
      <c r="K40" s="1483" t="s">
        <v>298</v>
      </c>
      <c r="L40" s="1531">
        <f>('R-Resumo Bal. Massa'!F63+'R-Resumo Bal. Massa'!G63)*312*D48/D8</f>
        <v>237.43778162511325</v>
      </c>
      <c r="M40" s="151"/>
      <c r="N40" s="1520" t="s">
        <v>916</v>
      </c>
      <c r="O40" s="1483" t="s">
        <v>298</v>
      </c>
      <c r="P40" s="1531">
        <f>'R-Resumo Bal. Massa'!E63*312*D48/D8</f>
        <v>0</v>
      </c>
      <c r="Q40" s="194"/>
      <c r="R40" s="988"/>
      <c r="S40" s="989"/>
      <c r="T40" s="989"/>
      <c r="U40" s="989"/>
      <c r="V40" s="989"/>
      <c r="W40" s="989"/>
      <c r="X40" s="989"/>
      <c r="Y40" s="989"/>
      <c r="Z40" s="1597"/>
    </row>
    <row r="41" spans="1:26" ht="17.649999999999999" hidden="1" customHeight="1" outlineLevel="1" x14ac:dyDescent="0.25">
      <c r="A41" s="43"/>
      <c r="B41" s="1520" t="s">
        <v>578</v>
      </c>
      <c r="C41" s="1483" t="s">
        <v>298</v>
      </c>
      <c r="D41" s="1533" t="str">
        <f>IF('R-Resumo Bal. Massa'!D13&gt;0,'R-Resumo Bal. Massa'!D13*312,"0")</f>
        <v>0</v>
      </c>
      <c r="E41" s="151"/>
      <c r="F41" s="1520" t="s">
        <v>896</v>
      </c>
      <c r="G41" s="1483" t="s">
        <v>306</v>
      </c>
      <c r="H41" s="1531">
        <f>P42+P43+P44</f>
        <v>0</v>
      </c>
      <c r="I41" s="151"/>
      <c r="J41" s="1520" t="s">
        <v>903</v>
      </c>
      <c r="K41" s="1483" t="s">
        <v>298</v>
      </c>
      <c r="L41" s="1531">
        <f>('R-Resumo Bal. Massa'!F62+'R-Resumo Bal. Massa'!G62)*312*D48/D8</f>
        <v>910.17816289626728</v>
      </c>
      <c r="M41" s="151"/>
      <c r="N41" s="1520" t="s">
        <v>917</v>
      </c>
      <c r="O41" s="1483" t="s">
        <v>298</v>
      </c>
      <c r="P41" s="1531">
        <f>'R-Resumo Bal. Massa'!E62*312*D48/D8</f>
        <v>0</v>
      </c>
      <c r="Q41" s="194"/>
      <c r="R41" s="988"/>
      <c r="S41" s="989"/>
      <c r="T41" s="989"/>
      <c r="U41" s="989"/>
      <c r="V41" s="989"/>
      <c r="W41" s="989"/>
      <c r="X41" s="989"/>
      <c r="Y41" s="989"/>
      <c r="Z41" s="1597"/>
    </row>
    <row r="42" spans="1:26" ht="17.649999999999999" hidden="1" customHeight="1" outlineLevel="1" x14ac:dyDescent="0.25">
      <c r="A42" s="43"/>
      <c r="B42" s="1520" t="s">
        <v>579</v>
      </c>
      <c r="C42" s="1483" t="s">
        <v>298</v>
      </c>
      <c r="D42" s="1531" t="str">
        <f>IF('R-Resumo Bal. Massa'!D14&gt;0,'R-Resumo Bal. Massa'!D14*312,"0")</f>
        <v>0</v>
      </c>
      <c r="E42" s="151"/>
      <c r="F42" s="1520" t="s">
        <v>897</v>
      </c>
      <c r="G42" s="1482" t="s">
        <v>307</v>
      </c>
      <c r="H42" s="1531">
        <f>P45+P46</f>
        <v>0</v>
      </c>
      <c r="I42" s="151"/>
      <c r="J42" s="1520" t="s">
        <v>904</v>
      </c>
      <c r="K42" s="1483" t="s">
        <v>298</v>
      </c>
      <c r="L42" s="1531">
        <f>('R-Resumo Bal. Massa'!J63)*312*D48/D8</f>
        <v>0</v>
      </c>
      <c r="M42" s="151"/>
      <c r="N42" s="1520" t="s">
        <v>922</v>
      </c>
      <c r="O42" s="1483" t="s">
        <v>306</v>
      </c>
      <c r="P42" s="1572">
        <f>IF('R-Definição'!J59&gt;0,'R-Resumo Bal. Massa'!I74*312/1000,0)*D48/D8</f>
        <v>0</v>
      </c>
      <c r="Q42" s="194"/>
      <c r="R42" s="988"/>
      <c r="S42" s="989"/>
      <c r="T42" s="989"/>
      <c r="U42" s="989"/>
      <c r="V42" s="989"/>
      <c r="W42" s="989"/>
      <c r="X42" s="989"/>
      <c r="Y42" s="989"/>
      <c r="Z42" s="1597"/>
    </row>
    <row r="43" spans="1:26" ht="17.649999999999999" hidden="1" customHeight="1" outlineLevel="1" x14ac:dyDescent="0.25">
      <c r="A43" s="43"/>
      <c r="B43" s="1520" t="s">
        <v>580</v>
      </c>
      <c r="C43" s="1483" t="s">
        <v>298</v>
      </c>
      <c r="D43" s="1531">
        <f>IF('R-Resumo Bal. Massa'!D15&gt;0,('R-Resumo Bal. Massa'!D15)*312,"0")</f>
        <v>146000.00000000003</v>
      </c>
      <c r="E43" s="151"/>
      <c r="F43" s="1520"/>
      <c r="G43" s="271"/>
      <c r="H43" s="1531"/>
      <c r="I43" s="151"/>
      <c r="J43" s="1520" t="s">
        <v>905</v>
      </c>
      <c r="K43" s="1483" t="s">
        <v>298</v>
      </c>
      <c r="L43" s="1531">
        <f>('R-Resumo Bal. Massa'!J62)*312*D48/D8</f>
        <v>0</v>
      </c>
      <c r="M43" s="151"/>
      <c r="N43" s="1520" t="s">
        <v>921</v>
      </c>
      <c r="O43" s="1483" t="s">
        <v>306</v>
      </c>
      <c r="P43" s="1531">
        <f>'R-Resumo Bal. Massa'!J74*312/1000*D48/D8</f>
        <v>0</v>
      </c>
      <c r="Q43" s="194"/>
      <c r="R43" s="988"/>
      <c r="S43" s="989"/>
      <c r="T43" s="989"/>
      <c r="U43" s="989"/>
      <c r="V43" s="989"/>
      <c r="W43" s="989"/>
      <c r="X43" s="989"/>
      <c r="Y43" s="989"/>
      <c r="Z43" s="1597"/>
    </row>
    <row r="44" spans="1:26" ht="17.649999999999999" hidden="1" customHeight="1" outlineLevel="1" x14ac:dyDescent="0.25">
      <c r="A44" s="43"/>
      <c r="B44" s="1520" t="s">
        <v>558</v>
      </c>
      <c r="C44" s="1483" t="s">
        <v>298</v>
      </c>
      <c r="D44" s="1531">
        <f>'R-Resumo Bal. Massa'!D53*312+IF(OR(D108&lt;0,D109&lt;0),D18,0)+(IF(OR(D111&lt;0,D112&lt;0),D19,0))</f>
        <v>58921.95</v>
      </c>
      <c r="E44" s="151"/>
      <c r="F44" s="1520"/>
      <c r="G44" s="1483"/>
      <c r="H44" s="1531"/>
      <c r="I44" s="151"/>
      <c r="J44" s="1520" t="s">
        <v>906</v>
      </c>
      <c r="K44" s="271" t="s">
        <v>298</v>
      </c>
      <c r="L44" s="1531">
        <f>IF('R-Definição'!I51&gt;0,('R-Definição'!I49-'R-Definição'!O53-'R-Definição'!O55)*'R-Definição'!L50/100*312,0)*D48/D8</f>
        <v>28421.302460526043</v>
      </c>
      <c r="M44" s="151"/>
      <c r="N44" s="1520" t="s">
        <v>920</v>
      </c>
      <c r="O44" s="1483" t="s">
        <v>306</v>
      </c>
      <c r="P44" s="1531">
        <f>'R-Resumo Bal. Massa'!K74*312/1000*D48/D8</f>
        <v>0</v>
      </c>
      <c r="Q44" s="194"/>
      <c r="R44" s="988"/>
      <c r="S44" s="989"/>
      <c r="T44" s="989"/>
      <c r="U44" s="989"/>
      <c r="V44" s="989"/>
      <c r="W44" s="989"/>
      <c r="X44" s="989"/>
      <c r="Y44" s="989"/>
      <c r="Z44" s="1597"/>
    </row>
    <row r="45" spans="1:26" ht="17.649999999999999" hidden="1" customHeight="1" outlineLevel="1" x14ac:dyDescent="0.25">
      <c r="A45" s="43"/>
      <c r="B45" s="1520" t="s">
        <v>716</v>
      </c>
      <c r="C45" s="1483" t="s">
        <v>195</v>
      </c>
      <c r="D45" s="1535">
        <f>(D40-D44)/D40</f>
        <v>0.59642499999999998</v>
      </c>
      <c r="E45" s="268"/>
      <c r="F45" s="1520"/>
      <c r="G45" s="1483"/>
      <c r="H45" s="1531"/>
      <c r="I45" s="268"/>
      <c r="J45" s="1520" t="s">
        <v>907</v>
      </c>
      <c r="K45" s="1483" t="s">
        <v>298</v>
      </c>
      <c r="L45" s="1531">
        <f>IF('R-Definição'!I52&gt;0,('R-Definição'!I49-'R-Definição'!O53-'R-Definição'!O55)*'R-Definição'!L50/100*312,0)*D48/D8</f>
        <v>0</v>
      </c>
      <c r="M45" s="268"/>
      <c r="N45" s="1520" t="s">
        <v>919</v>
      </c>
      <c r="O45" s="1482" t="s">
        <v>307</v>
      </c>
      <c r="P45" s="1531">
        <f>IF('R-Definição'!J59&gt;0,'R-Resumo Bal. Massa'!I75*312,0)*D48/D8</f>
        <v>0</v>
      </c>
      <c r="Q45" s="194"/>
      <c r="R45" s="988"/>
      <c r="S45" s="989"/>
      <c r="T45" s="989"/>
      <c r="U45" s="989"/>
      <c r="V45" s="989"/>
      <c r="W45" s="989"/>
      <c r="X45" s="989"/>
      <c r="Y45" s="989"/>
      <c r="Z45" s="1597"/>
    </row>
    <row r="46" spans="1:26" ht="17.649999999999999" hidden="1" customHeight="1" outlineLevel="1" x14ac:dyDescent="0.25">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649999999999999" hidden="1" customHeight="1" outlineLevel="1" x14ac:dyDescent="0.25">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649999999999999" hidden="1" customHeight="1" outlineLevel="1" x14ac:dyDescent="0.25">
      <c r="A48" s="43"/>
      <c r="B48" s="1520" t="s">
        <v>1121</v>
      </c>
      <c r="C48" s="1483" t="s">
        <v>298</v>
      </c>
      <c r="D48" s="1782">
        <f>SUMIF('C-FCL Real'!$C$33:'C-FCL Real'!$BG$33,1,'C-FCL Real'!C35:'C-FCL Real'!BG35)/D32</f>
        <v>158291.85441674214</v>
      </c>
      <c r="E48" s="268"/>
      <c r="F48" s="1520"/>
      <c r="G48" s="1483"/>
      <c r="H48" s="1531"/>
      <c r="I48" s="268"/>
      <c r="J48" s="1520" t="s">
        <v>910</v>
      </c>
      <c r="K48" s="1483" t="s">
        <v>298</v>
      </c>
      <c r="L48" s="1531">
        <f>'R-Resumo Bal. Massa'!I66*312*D48/D8</f>
        <v>31120.970037603587</v>
      </c>
      <c r="M48" s="268"/>
      <c r="N48" s="1520"/>
      <c r="O48" s="1483"/>
      <c r="P48" s="1531"/>
      <c r="Q48" s="194"/>
      <c r="R48" s="988"/>
      <c r="S48" s="989"/>
      <c r="T48" s="989"/>
      <c r="U48" s="989"/>
      <c r="V48" s="989"/>
      <c r="W48" s="989"/>
      <c r="X48" s="989"/>
      <c r="Y48" s="989"/>
      <c r="Z48" s="1597"/>
    </row>
    <row r="49" spans="1:26" ht="17.649999999999999" hidden="1" customHeight="1" outlineLevel="1" thickBot="1" x14ac:dyDescent="0.3">
      <c r="A49" s="34"/>
      <c r="B49" s="1522"/>
      <c r="C49" s="1536"/>
      <c r="D49" s="1532"/>
      <c r="E49" s="151"/>
      <c r="F49" s="1522"/>
      <c r="G49" s="1536"/>
      <c r="H49" s="1532"/>
      <c r="I49" s="151"/>
      <c r="J49" s="1522" t="s">
        <v>911</v>
      </c>
      <c r="K49" s="1536" t="s">
        <v>298</v>
      </c>
      <c r="L49" s="1532">
        <f>'R-Resumo Bal. Massa'!I67*312*D48/D8</f>
        <v>0</v>
      </c>
      <c r="M49" s="151"/>
      <c r="N49" s="1522"/>
      <c r="O49" s="1536"/>
      <c r="P49" s="1532"/>
      <c r="Q49" s="194"/>
      <c r="R49" s="988"/>
      <c r="S49" s="989"/>
      <c r="T49" s="989"/>
      <c r="U49" s="989"/>
      <c r="V49" s="989"/>
      <c r="W49" s="989"/>
      <c r="X49" s="989"/>
      <c r="Y49" s="989"/>
      <c r="Z49" s="1597"/>
    </row>
    <row r="50" spans="1:26" ht="10.15" customHeight="1" thickBot="1" x14ac:dyDescent="0.3">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 customHeight="1" collapsed="1" thickTop="1" x14ac:dyDescent="0.25">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649999999999999" hidden="1" customHeight="1" outlineLevel="1" x14ac:dyDescent="0.25">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649999999999999" hidden="1" customHeight="1" outlineLevel="1" x14ac:dyDescent="0.25">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649999999999999" hidden="1" customHeight="1" outlineLevel="1" x14ac:dyDescent="0.25">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649999999999999" hidden="1" customHeight="1" outlineLevel="1" x14ac:dyDescent="0.25">
      <c r="A55" s="44"/>
      <c r="B55" s="1520" t="s">
        <v>583</v>
      </c>
      <c r="C55" s="1483" t="s">
        <v>760</v>
      </c>
      <c r="D55" s="1565">
        <v>0</v>
      </c>
      <c r="E55" s="194"/>
      <c r="F55" s="1097" t="s">
        <v>326</v>
      </c>
      <c r="G55" s="1097" t="str">
        <f>'C-Triagem Mec'!L2</f>
        <v>Sim</v>
      </c>
      <c r="H55" s="1097">
        <f>IF('C-Triagem Mec'!D2&gt;0,'C-Triagem Mec'!H2,0)</f>
        <v>146467.94871794875</v>
      </c>
      <c r="I55" s="679"/>
      <c r="J55" s="1097" t="s">
        <v>326</v>
      </c>
      <c r="K55" s="1624">
        <f>IF('C-Triagem Mec'!$E$7="SIM",'C-Triagem Mec'!$E$19,IF('C-Triagem Mec'!$I$7="SIM",'C-Triagem Mec'!$I$19,IF('C-Triagem Mec'!$M$7="SIM",'C-Triagem Mec'!$M$19,IF('C-Triagem Mec'!$Q$7="SIM",'C-Triagem Mec'!$Q$19,IF('C-Triagem Mec'!$U$7="SIM",'C-Triagem Mec'!$U$19,0)))))</f>
        <v>77.857190201484556</v>
      </c>
      <c r="L55" s="1097">
        <f>IF('C-Triagem Mec'!$E$7="SIM",'C-Triagem Mec'!$E$20,IF('C-Triagem Mec'!$I$7="SIM",'C-Triagem Mec'!$I$20,IF('C-Triagem Mec'!$M$7="SIM",'C-Triagem Mec'!$M$20,IF('C-Triagem Mec'!$Q$7="SIM",'C-Triagem Mec'!$Q$20,IF('C-Triagem Mec'!$U$7="SIM",'C-Triagem Mec'!$U$20,0)))))</f>
        <v>531.56469304703</v>
      </c>
      <c r="M55" s="194"/>
      <c r="N55" s="1097" t="s">
        <v>326</v>
      </c>
      <c r="O55" s="1624">
        <f>IF('C-Triagem Mec'!$E$7="SIM",'C-Triagem Mec'!$E$43,IF('C-Triagem Mec'!$I$7="SIM",'C-Triagem Mec'!$I$43,IF('C-Triagem Mec'!$M$7="SIM",'C-Triagem Mec'!$M$43,IF('C-Triagem Mec'!$Q$7="SIM",'C-Triagem Mec'!$Q$43,IF('C-Triagem Mec'!$U$7="SIM",'C-Triagem Mec'!$U$43,0)))))</f>
        <v>12.08428933793231</v>
      </c>
      <c r="P55" s="1097">
        <f>IF('C-Triagem Mec'!$E$7="SIM",'C-Triagem Mec'!$E$42,IF('C-Triagem Mec'!$I$7="SIM",'C-Triagem Mec'!$I$42,IF('C-Triagem Mec'!$M$7="SIM",'C-Triagem Mec'!$M$42,IF('C-Triagem Mec'!$Q$7="SIM",'C-Triagem Mec'!$Q$42,IF('C-Triagem Mec'!$U$7="SIM",'C-Triagem Mec'!$U$42,0)))))</f>
        <v>82.50466701901351</v>
      </c>
      <c r="Q55" s="194"/>
      <c r="R55" s="988"/>
      <c r="S55" s="989"/>
      <c r="T55" s="989"/>
      <c r="U55" s="989"/>
      <c r="V55" s="989"/>
      <c r="W55" s="989"/>
      <c r="X55" s="989"/>
      <c r="Y55" s="989"/>
      <c r="Z55" s="1597"/>
    </row>
    <row r="56" spans="1:26" ht="17.649999999999999" hidden="1" customHeight="1" outlineLevel="1" x14ac:dyDescent="0.25">
      <c r="A56" s="43"/>
      <c r="B56" s="1520" t="s">
        <v>584</v>
      </c>
      <c r="C56" s="1483" t="s">
        <v>760</v>
      </c>
      <c r="D56" s="1565">
        <v>25</v>
      </c>
      <c r="E56" s="194"/>
      <c r="F56" s="1465" t="s">
        <v>590</v>
      </c>
      <c r="G56" s="273">
        <v>0.25</v>
      </c>
      <c r="H56" s="1557">
        <v>0</v>
      </c>
      <c r="I56" s="679"/>
      <c r="J56" s="1520"/>
      <c r="K56" s="226" t="s">
        <v>322</v>
      </c>
      <c r="L56" s="1548">
        <f>IF(K55&gt;0,K55*1000000/$D$40,0)</f>
        <v>533.26842603756552</v>
      </c>
      <c r="M56" s="194"/>
      <c r="N56" s="1520" t="s">
        <v>323</v>
      </c>
      <c r="O56" s="278">
        <f>IF(AND(H55&gt;0,D98="Não"),((L36*D101)+(L37*D102)+(L38*D103)+(L39*D104)+(L40*D106)+(L41*D105))/$D$40,((L36*D101)+(L37*D102)+(L38*D103)+(L39*D104)+(L40*D106)+(L41*D105))/$D$40*(1-D99))</f>
        <v>0</v>
      </c>
      <c r="P56" s="1506">
        <f>IF(O55&gt;0,O55*1000000/$D$40,0)</f>
        <v>82.769105054330879</v>
      </c>
      <c r="Q56" s="194"/>
      <c r="R56" s="988"/>
      <c r="S56" s="989"/>
      <c r="T56" s="989"/>
      <c r="U56" s="989"/>
      <c r="V56" s="989"/>
      <c r="W56" s="989"/>
      <c r="X56" s="989"/>
      <c r="Y56" s="989"/>
      <c r="Z56" s="1597"/>
    </row>
    <row r="57" spans="1:26" ht="17.649999999999999" hidden="1" customHeight="1" outlineLevel="1" x14ac:dyDescent="0.25">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14241.773353931867</v>
      </c>
      <c r="H57" s="1559"/>
      <c r="I57" s="679"/>
      <c r="J57" s="1549" t="s">
        <v>324</v>
      </c>
      <c r="K57" s="271">
        <f>IF('C-Triagem Mec'!$E$7="SIM",'C-Triagem Mec'!$E$23,IF('C-Triagem Mec'!$I$7="SIM",'C-Triagem Mec'!$I$23,IF('C-Triagem Mec'!$M$7="SIM",'C-Triagem Mec'!$M$23,IF('C-Triagem Mec'!$Q$7="SIM",'C-Triagem Mec'!$Q$23,IF('C-Triagem Mec'!$U$7="SIM",'C-Triagem Mec'!$U$23,"0")))))</f>
        <v>1.5491928586415613</v>
      </c>
      <c r="L57" s="1550"/>
      <c r="M57" s="194"/>
      <c r="N57" s="1520" t="s">
        <v>325</v>
      </c>
      <c r="O57" s="278">
        <f>IF('C-Triagem Mec'!$E$7="SIM",'C-Triagem Mec'!$E$44,IF('C-Triagem Mec'!$I$7="SIM",'C-Triagem Mec'!$I$44,IF('C-Triagem Mec'!$M$7="SIM",'C-Triagem Mec'!$M$44,IF('C-Triagem Mec'!$Q$7="SIM",'C-Triagem Mec'!$Q$44,IF('C-Triagem Mec'!$U$7="SIM",'C-Triagem Mec'!$U$44,0)))))</f>
        <v>3.6503999999999999</v>
      </c>
      <c r="P57" s="1525">
        <f>IF('C-Triagem Mec'!$E$7="SIM",'C-Triagem Mec'!$E$45,IF('C-Triagem Mec'!$I$7="SIM",'C-Triagem Mec'!$I$45,IF('C-Triagem Mec'!$M$7="SIM",'C-Triagem Mec'!$M$45,IF('C-Triagem Mec'!$Q$7="SIM",'C-Triagem Mec'!$Q$45,IF('C-Triagem Mec'!$U$7="SIM",'C-Triagem Mec'!$U$45,0)))))</f>
        <v>57.581808250577282</v>
      </c>
      <c r="Q57" s="194"/>
      <c r="R57" s="988"/>
      <c r="S57" s="989"/>
      <c r="T57" s="989"/>
      <c r="U57" s="989"/>
      <c r="V57" s="989"/>
      <c r="W57" s="989"/>
      <c r="X57" s="989"/>
      <c r="Y57" s="989"/>
      <c r="Z57" s="1597"/>
    </row>
    <row r="58" spans="1:26" ht="17.649999999999999" hidden="1" customHeight="1" outlineLevel="1" x14ac:dyDescent="0.25">
      <c r="A58" s="43"/>
      <c r="B58" s="1520" t="s">
        <v>1115</v>
      </c>
      <c r="C58" s="1999" t="s">
        <v>195</v>
      </c>
      <c r="D58" s="1530">
        <v>0.65</v>
      </c>
      <c r="E58" s="194"/>
      <c r="F58" s="1097" t="s">
        <v>592</v>
      </c>
      <c r="G58" s="1097" t="str">
        <f>'C-Produção CDR-TM'!L2</f>
        <v>Sim</v>
      </c>
      <c r="H58" s="1097">
        <f>IF('C-Produção CDR-TM'!D2&gt;0,'C-Produção CDR-TM'!H2,0)</f>
        <v>55364.88461538461</v>
      </c>
      <c r="I58" s="679"/>
      <c r="J58" s="1097" t="s">
        <v>592</v>
      </c>
      <c r="K58" s="1624">
        <f>IF('C-Produção CDR-TM'!$E$7="SIM",'C-Produção CDR-TM'!$E$19,IF('C-Produção CDR-TM'!$I$7="SIM",'C-Produção CDR-TM'!$I$19,IF('C-Produção CDR-TM'!$M$7="SIM",'C-Produção CDR-TM'!$M$19,IF('C-Produção CDR-TM'!$Q$7="SIM",'C-Produção CDR-TM'!$Q$19,IF('C-Produção CDR-TM'!$U$7="SIM",'C-Produção CDR-TM'!$U$19,0)))))</f>
        <v>24.477469026953049</v>
      </c>
      <c r="L58" s="1097">
        <f>IF('C-Produção CDR-TM'!$E$7="SIM",'C-Produção CDR-TM'!$E$20,IF('C-Produção CDR-TM'!$I$7="SIM",'C-Produção CDR-TM'!$I$20,IF('C-Produção CDR-TM'!$M$7="SIM",'C-Produção CDR-TM'!$M$20,IF('C-Produção CDR-TM'!$Q$7="SIM",'C-Produção CDR-TM'!$Q$20,IF('C-Produção CDR-TM'!$U$7="SIM",'C-Produção CDR-TM'!$U$20,0)))))</f>
        <v>442.1118042057895</v>
      </c>
      <c r="M58" s="194"/>
      <c r="N58" s="1097" t="s">
        <v>592</v>
      </c>
      <c r="O58" s="1624">
        <f>IF('C-Produção CDR-TM'!$E$7="SIM",'C-Produção CDR-TM'!$E$43,IF('C-Produção CDR-TM'!$I$7="SIM",'C-Produção CDR-TM'!$I$43,IF('C-Produção CDR-TM'!$M$7="SIM",'C-Produção CDR-TM'!$M$43,IF('C-Produção CDR-TM'!$Q$7="SIM",'C-Produção CDR-TM'!$Q$43,IF('C-Produção CDR-TM'!$U$7="SIM",'C-Produção CDR-TM'!$U$43,0)))))</f>
        <v>2.6854831938905694</v>
      </c>
      <c r="P58" s="1097">
        <f>IF('C-Produção CDR-TM'!$E$7="SIM",'C-Produção CDR-TM'!$E$42,IF('C-Produção CDR-TM'!$I$7="SIM",'C-Produção CDR-TM'!$I$42,IF('C-Produção CDR-TM'!$M$7="SIM",'C-Produção CDR-TM'!$M$42,IF('C-Produção CDR-TM'!$Q$7="SIM",'C-Produção CDR-TM'!$Q$42,IF('C-Produção CDR-TM'!$U$7="SIM",'C-Produção CDR-TM'!$U$42,0)))))</f>
        <v>48.505170967959288</v>
      </c>
      <c r="Q58" s="194"/>
      <c r="R58" s="988"/>
      <c r="S58" s="989"/>
      <c r="T58" s="989"/>
      <c r="U58" s="989"/>
      <c r="V58" s="989"/>
      <c r="W58" s="989"/>
      <c r="X58" s="989"/>
      <c r="Y58" s="989"/>
      <c r="Z58" s="1597"/>
    </row>
    <row r="59" spans="1:26" ht="17.649999999999999" hidden="1" customHeight="1" outlineLevel="1" x14ac:dyDescent="0.25">
      <c r="A59" s="44"/>
      <c r="B59" s="1520" t="s">
        <v>586</v>
      </c>
      <c r="C59" s="1482" t="s">
        <v>327</v>
      </c>
      <c r="D59" s="1565">
        <v>5000</v>
      </c>
      <c r="E59" s="194"/>
      <c r="F59" s="1465" t="s">
        <v>590</v>
      </c>
      <c r="G59" s="273">
        <v>0.25</v>
      </c>
      <c r="H59" s="1557">
        <v>0</v>
      </c>
      <c r="I59" s="679"/>
      <c r="J59" s="1520"/>
      <c r="K59" s="226" t="s">
        <v>322</v>
      </c>
      <c r="L59" s="1548">
        <f>IF(K58&gt;0,K58*1000000/$D$40,0)</f>
        <v>167.65389744488391</v>
      </c>
      <c r="M59" s="194"/>
      <c r="N59" s="1520" t="s">
        <v>323</v>
      </c>
      <c r="O59" s="278">
        <f>IF(H58&gt;0,((L44*D112)+(L46*D111))/$D$40,0)</f>
        <v>19.466645520908248</v>
      </c>
      <c r="P59" s="1504">
        <f>IF(O58&gt;0,O58*1000000/$D$40,0)</f>
        <v>18.39372050609979</v>
      </c>
      <c r="Q59" s="194"/>
      <c r="R59" s="988"/>
      <c r="S59" s="989"/>
      <c r="T59" s="989"/>
      <c r="U59" s="989"/>
      <c r="V59" s="989"/>
      <c r="W59" s="989"/>
      <c r="X59" s="989"/>
      <c r="Y59" s="989"/>
      <c r="Z59" s="1597"/>
    </row>
    <row r="60" spans="1:26" ht="17.649999999999999" hidden="1" customHeight="1" outlineLevel="1" x14ac:dyDescent="0.25">
      <c r="A60" s="43"/>
      <c r="B60" s="1520" t="s">
        <v>587</v>
      </c>
      <c r="C60" s="1483" t="s">
        <v>760</v>
      </c>
      <c r="D60" s="1565">
        <v>1500</v>
      </c>
      <c r="E60" s="194"/>
      <c r="F60" s="1520" t="s">
        <v>591</v>
      </c>
      <c r="G60" s="264">
        <f>IF('C-Produção CDR-TM'!$E$7="SIM",'C-Produção CDR-TM'!$D$17,IF('C-Produção CDR-TM'!$I$7="SIM",'C-Produção CDR-TM'!$H$17,IF('C-Produção CDR-TM'!$M$7="SIM",'C-Produção CDR-TM'!$L$17,IF('C-Produção CDR-TM'!$Q$7="SIM",'C-Produção CDR-TM'!$P$17,IF('C-Produção CDR-TM'!$U$7="SIM",'C-Produção CDR-TM'!$T$17,"0")))))</f>
        <v>2900</v>
      </c>
      <c r="H60" s="1558"/>
      <c r="I60" s="679"/>
      <c r="J60" s="1549" t="s">
        <v>324</v>
      </c>
      <c r="K60" s="271">
        <f>IF('C-Produção CDR-TM'!$E$7="SIM",'C-Produção CDR-TM'!$E$23,IF('C-Produção CDR-TM'!$I$7="SIM",'C-Produção CDR-TM'!$I$23,IF('C-Produção CDR-TM'!$M$7="SIM",'C-Produção CDR-TM'!$M$23,IF('C-Produção CDR-TM'!$Q$7="SIM",'C-Produção CDR-TM'!$Q$23,IF('C-Produção CDR-TM'!$U$7="SIM",'C-Produção CDR-TM'!$U$23,"0")))))</f>
        <v>0.51418964057962946</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0.4224</v>
      </c>
      <c r="P60" s="1525">
        <f>IF('C-Produção CDR-TM'!$E$7="SIM",'C-Produção CDR-TM'!$E$45,IF('C-Produção CDR-TM'!$I$7="SIM",'C-Produção CDR-TM'!$I$45,IF('C-Produção CDR-TM'!$M$7="SIM",'C-Produção CDR-TM'!$M$45,IF('C-Produção CDR-TM'!$Q$7="SIM",'C-Produção CDR-TM'!$Q$45,IF('C-Produção CDR-TM'!$U$7="SIM",'C-Produção CDR-TM'!$U$45,0)))))</f>
        <v>40.875786333016421</v>
      </c>
      <c r="Q60" s="194"/>
      <c r="R60" s="988"/>
      <c r="S60" s="989"/>
      <c r="T60" s="989"/>
      <c r="U60" s="989"/>
      <c r="V60" s="989"/>
      <c r="W60" s="989"/>
      <c r="X60" s="989"/>
      <c r="Y60" s="989"/>
      <c r="Z60" s="1597"/>
    </row>
    <row r="61" spans="1:26" ht="17.649999999999999" hidden="1" customHeight="1" outlineLevel="1" x14ac:dyDescent="0.25">
      <c r="A61" s="43"/>
      <c r="B61" s="1520" t="s">
        <v>588</v>
      </c>
      <c r="C61" s="1482" t="s">
        <v>195</v>
      </c>
      <c r="D61" s="1530">
        <v>0</v>
      </c>
      <c r="E61" s="194"/>
      <c r="F61" s="1097" t="s">
        <v>483</v>
      </c>
      <c r="G61" s="1097" t="str">
        <f>'C-Produção CDR-TMB'!L2</f>
        <v>Não</v>
      </c>
      <c r="H61" s="1097">
        <f>IF('C-Produção CDR-TMB'!D2&gt;0,'C-Produção CDR-TMB'!H2,0)</f>
        <v>0</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0</v>
      </c>
      <c r="L61" s="1624">
        <f>IF('C-Produção CDR-TMB'!$E$7="SIM",'C-Produção CDR-TMB'!$E$20,IF('C-Produção CDR-TMB'!$I$7="SIM",'C-Produção CDR-TMB'!$I$20,IF('C-Produção CDR-TMB'!$M$7="SIM",'C-Produção CDR-TMB'!$M$20,IF('C-Produção CDR-TMB'!$Q$7="SIM",'C-Produção CDR-TMB'!$Q$20,IF('C-Produção CDR-TMB'!$U$7="SIM",'C-Produção CDR-TMB'!$U$20,0)))))</f>
        <v>0</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0</v>
      </c>
      <c r="P61" s="1624">
        <f>IF('C-Produção CDR-TMB'!$E$7="SIM",'C-Produção CDR-TMB'!$E$42,IF('C-Produção CDR-TMB'!$I$7="SIM",'C-Produção CDR-TMB'!$I$42,IF('C-Produção CDR-TMB'!$M$7="SIM",'C-Produção CDR-TMB'!$M$42,IF('C-Produção CDR-TMB'!$Q$7="SIM",'C-Produção CDR-TMB'!$Q$42,IF('C-Produção CDR-TMB'!$U$7="SIM",'C-Produção CDR-TMB'!$U$42,0)))))</f>
        <v>0</v>
      </c>
      <c r="Q61" s="194"/>
      <c r="R61" s="988"/>
      <c r="S61" s="989"/>
      <c r="T61" s="989"/>
      <c r="U61" s="989"/>
      <c r="V61" s="989"/>
      <c r="W61" s="989"/>
      <c r="X61" s="989"/>
      <c r="Y61" s="989"/>
      <c r="Z61" s="1597"/>
    </row>
    <row r="62" spans="1:26" ht="17.649999999999999" hidden="1" customHeight="1" outlineLevel="1" x14ac:dyDescent="0.25">
      <c r="A62" s="43"/>
      <c r="B62" s="1568" t="s">
        <v>599</v>
      </c>
      <c r="C62" s="866" t="s">
        <v>288</v>
      </c>
      <c r="D62" s="1569" t="s">
        <v>289</v>
      </c>
      <c r="E62" s="194"/>
      <c r="F62" s="1465" t="s">
        <v>590</v>
      </c>
      <c r="G62" s="273">
        <v>0.25</v>
      </c>
      <c r="H62" s="1557">
        <v>0.25</v>
      </c>
      <c r="I62" s="679"/>
      <c r="J62" s="1520"/>
      <c r="K62" s="226" t="s">
        <v>322</v>
      </c>
      <c r="L62" s="1548">
        <f>IF(K61&gt;0,K61*1000000/$D$40,0)</f>
        <v>0</v>
      </c>
      <c r="M62" s="194"/>
      <c r="N62" s="1520" t="s">
        <v>323</v>
      </c>
      <c r="O62" s="278">
        <f>IF(H61&gt;0,((L45*D112)+(L47*D111))/$D$40,0)</f>
        <v>0</v>
      </c>
      <c r="P62" s="1506">
        <f>IF(O61&gt;0,O61*1000000/$D$40,0)</f>
        <v>0</v>
      </c>
      <c r="Q62" s="194"/>
      <c r="R62" s="988"/>
      <c r="S62" s="989"/>
      <c r="T62" s="989"/>
      <c r="U62" s="989"/>
      <c r="V62" s="989"/>
      <c r="W62" s="989"/>
      <c r="X62" s="989"/>
      <c r="Y62" s="989"/>
      <c r="Z62" s="1597"/>
    </row>
    <row r="63" spans="1:26" ht="17.649999999999999" hidden="1" customHeight="1" outlineLevel="1" x14ac:dyDescent="0.25">
      <c r="A63" s="43"/>
      <c r="B63" s="1520" t="s">
        <v>600</v>
      </c>
      <c r="C63" s="272" t="s">
        <v>328</v>
      </c>
      <c r="D63" s="1567">
        <v>20000</v>
      </c>
      <c r="E63" s="269"/>
      <c r="F63" s="1520" t="s">
        <v>591</v>
      </c>
      <c r="G63" s="264" t="str">
        <f>IF('C-Produção CDR-TMB'!$E$7="SIM",'C-Produção CDR-TMB'!$D$17,IF('C-Produção CDR-TMB'!$I$7="SIM",'C-Produção CDR-TMB'!$H$17,IF('C-Produção CDR-TMB'!$M$7="SIM",'C-Produção CDR-TMB'!$L$17,IF('C-Produção CDR-TMB'!$Q$7="SIM",'C-Produção CDR-TMB'!$P$17,IF('C-Produção CDR-TMB'!$U$7="SIM",'C-Produção CDR-TMB'!$T$17,"0")))))</f>
        <v>0</v>
      </c>
      <c r="H63" s="1560"/>
      <c r="I63" s="679"/>
      <c r="J63" s="1549" t="s">
        <v>324</v>
      </c>
      <c r="K63" s="271" t="str">
        <f>IF('C-Produção CDR-TMB'!$E$7="SIM",'C-Produção CDR-TMB'!$E$23,IF('C-Produção CDR-TMB'!$I$7="SIM",'C-Produção CDR-TMB'!$I$23,IF('C-Produção CDR-TMB'!$M$7="SIM",'C-Produção CDR-TMB'!$M$23,IF('C-Produção CDR-TMB'!$Q$7="SIM",'C-Produção CDR-TMB'!$Q$23,IF('C-Produção CDR-TMB'!$U$7="SIM",'C-Produção CDR-TMB'!$U$23,"0")))))</f>
        <v>0</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0</v>
      </c>
      <c r="P63" s="1531">
        <f>IF('C-Produção CDR-TMB'!$E$7="SIM",'C-Produção CDR-TMB'!$E$45,IF('C-Produção CDR-TMB'!$I$7="SIM",'C-Produção CDR-TMB'!$I$45,IF('C-Produção CDR-TMB'!$M$7="SIM",'C-Produção CDR-TMB'!$M$45,IF('C-Produção CDR-TMB'!$Q$7="SIM",'C-Produção CDR-TMB'!$Q$45,IF('C-Produção CDR-TMB'!$U$7="SIM",'C-Produção CDR-TMB'!$U$45,0)))))</f>
        <v>0</v>
      </c>
      <c r="Q63" s="269"/>
      <c r="R63" s="991"/>
      <c r="S63" s="999"/>
      <c r="T63" s="999"/>
      <c r="U63" s="999"/>
      <c r="V63" s="999"/>
      <c r="W63" s="999"/>
      <c r="X63" s="999"/>
      <c r="Y63" s="999"/>
      <c r="Z63" s="1600"/>
    </row>
    <row r="64" spans="1:26" ht="17.649999999999999" hidden="1" customHeight="1" outlineLevel="1" x14ac:dyDescent="0.25">
      <c r="A64" s="43"/>
      <c r="B64" s="1520" t="s">
        <v>601</v>
      </c>
      <c r="C64" s="1482" t="s">
        <v>328</v>
      </c>
      <c r="D64" s="1567">
        <v>10000</v>
      </c>
      <c r="E64" s="270"/>
      <c r="F64" s="1097" t="s">
        <v>329</v>
      </c>
      <c r="G64" s="1097" t="str">
        <f>'C-Biodigestão'!L2</f>
        <v>Não'</v>
      </c>
      <c r="H64" s="1097">
        <f>IF('C-Biodigestão'!D2&gt;0,'C-Biodigestão'!H2,0)</f>
        <v>0</v>
      </c>
      <c r="I64" s="679"/>
      <c r="J64" s="1097" t="s">
        <v>329</v>
      </c>
      <c r="K64" s="1624">
        <f>IF('C-Biodigestão'!$E$7="SIM",'C-Biodigestão'!$E$19,IF('C-Biodigestão'!$I$7="SIM",'C-Biodigestão'!$I$19,IF('C-Biodigestão'!$M$7="SIM",'C-Biodigestão'!$M$19,IF('C-Biodigestão'!$Q$7="SIM",'C-Biodigestão'!$Q$19,IF('C-Biodigestão'!$U$7="SIM",'C-Biodigestão'!$U$19,0)))))</f>
        <v>0</v>
      </c>
      <c r="L64" s="1097">
        <f>IF('C-Biodigestão'!$E$7="SIM",'C-Biodigestão'!$E$20,IF('C-Biodigestão'!$I$7="SIM",'C-Biodigestão'!$I$20,IF('C-Biodigestão'!$M$7="SIM",'C-Biodigestão'!$M$20,IF('C-Biodigestão'!$Q$7="SIM",'C-Biodigestão'!$Q$20,IF('C-Biodigestão'!$U$7="SIM",'C-Biodigestão'!$U$20,0)))))</f>
        <v>0</v>
      </c>
      <c r="M64" s="280"/>
      <c r="N64" s="1097" t="s">
        <v>329</v>
      </c>
      <c r="O64" s="1624">
        <f>IF('C-Biodigestão'!$E$7="SIM",'C-Biodigestão'!$E$46,IF('C-Biodigestão'!$I$7="SIM",'C-Biodigestão'!$I$46,IF('C-Biodigestão'!$M$7="SIM",'C-Biodigestão'!$M$46,IF('C-Biodigestão'!$Q$7="SIM",'C-Biodigestão'!$Q$46,IF('C-Biodigestão'!$U$7="SIM",'C-Biodigestão'!$U$46,0)))))</f>
        <v>0</v>
      </c>
      <c r="P64" s="1097">
        <f>IF('C-Biodigestão'!$E$7="SIM",'C-Biodigestão'!$E$45,IF('C-Biodigestão'!$I$7="SIM",'C-Biodigestão'!$I$45,IF('C-Biodigestão'!$M$7="SIM",'C-Biodigestão'!$M$45,IF('C-Biodigestão'!$Q$7="SIM",'C-Biodigestão'!$Q$45,IF('C-Biodigestão'!$U$7="SIM",'C-Biodigestão'!$U$45,0)))))</f>
        <v>0</v>
      </c>
      <c r="Q64" s="194"/>
      <c r="R64" s="988"/>
      <c r="S64" s="989"/>
      <c r="T64" s="989"/>
      <c r="U64" s="989"/>
      <c r="V64" s="989"/>
      <c r="W64" s="989"/>
      <c r="X64" s="989"/>
      <c r="Y64" s="989"/>
      <c r="Z64" s="1597"/>
    </row>
    <row r="65" spans="1:26" ht="17.649999999999999" hidden="1" customHeight="1" outlineLevel="1" x14ac:dyDescent="0.25">
      <c r="A65" s="43"/>
      <c r="B65" s="1520" t="s">
        <v>602</v>
      </c>
      <c r="C65" s="1483" t="s">
        <v>328</v>
      </c>
      <c r="D65" s="1567">
        <v>1500</v>
      </c>
      <c r="E65" s="194"/>
      <c r="F65" s="1465" t="s">
        <v>590</v>
      </c>
      <c r="G65" s="273">
        <v>0.25</v>
      </c>
      <c r="H65" s="1557">
        <v>0</v>
      </c>
      <c r="I65" s="864"/>
      <c r="J65" s="1520"/>
      <c r="K65" s="226" t="s">
        <v>322</v>
      </c>
      <c r="L65" s="1548">
        <f>IF(K64&gt;0,K64*1000000/$D$40,0)</f>
        <v>0</v>
      </c>
      <c r="M65" s="281"/>
      <c r="N65" s="1520" t="s">
        <v>323</v>
      </c>
      <c r="O65" s="278">
        <f>IF(H64&gt;0,((P42*D114)+(P45*D117))/$D$40,0)</f>
        <v>0</v>
      </c>
      <c r="P65" s="1506">
        <f>IF(O64&gt;0,O64*1000000/$D$40,0)</f>
        <v>0</v>
      </c>
      <c r="Q65" s="194"/>
      <c r="R65" s="988"/>
      <c r="S65" s="989"/>
      <c r="T65" s="989"/>
      <c r="U65" s="989"/>
      <c r="V65" s="989"/>
      <c r="W65" s="989"/>
      <c r="X65" s="989"/>
      <c r="Y65" s="989"/>
      <c r="Z65" s="1597"/>
    </row>
    <row r="66" spans="1:26" ht="17.649999999999999" hidden="1" customHeight="1" outlineLevel="1" x14ac:dyDescent="0.25">
      <c r="A66" s="37"/>
      <c r="B66" s="1520" t="s">
        <v>761</v>
      </c>
      <c r="C66" s="2277" t="s">
        <v>330</v>
      </c>
      <c r="D66" s="2278"/>
      <c r="E66" s="270"/>
      <c r="F66" s="1520" t="s">
        <v>591</v>
      </c>
      <c r="G66" s="264" t="str">
        <f>IF('C-Biodigestão'!$E$7="SIM",'C-Biodigestão'!$D$17,IF('C-Biodigestão'!$I$7="SIM",'C-Biodigestão'!$H$17,IF('C-Biodigestão'!$M$7="SIM",'C-Biodigestão'!$L$17,IF('C-Biodigestão'!$Q$7="SIM",'C-Biodigestão'!$P$17,IF('C-Biodigestão'!$U$7="SIM",'C-Biodigestão'!$T$17,"0")))))</f>
        <v>0</v>
      </c>
      <c r="H66" s="1558"/>
      <c r="I66" s="864"/>
      <c r="J66" s="1549" t="s">
        <v>324</v>
      </c>
      <c r="K66" s="271" t="str">
        <f>IF('C-Biodigestão'!$E$7="SIM",'C-Biodigestão'!$E$26,IF('C-Biodigestão'!$I$7="SIM",'C-Biodigestão'!$I$26,IF('C-Biodigestão'!$M$7="SIM",'C-Biodigestão'!$M$26,IF('C-Biodigestão'!$Q$7="SIM",'C-Biodigestão'!$Q$26,IF('C-Biodigestão'!$U$7="SIM",'C-Biodigestão'!$U$26,"0")))))</f>
        <v>0</v>
      </c>
      <c r="L66" s="1551"/>
      <c r="M66" s="281"/>
      <c r="N66" s="1520" t="s">
        <v>325</v>
      </c>
      <c r="O66" s="278">
        <f>IF('C-Biodigestão'!$E$7="SIM",'C-Biodigestão'!$E$47,IF('C-Biodigestão'!$I$7="SIM",'C-Biodigestão'!$I$47,IF('C-Biodigestão'!$M$7="SIM",'C-Biodigestão'!$M$47,IF('C-Biodigestão'!$Q$7="SIM",'C-Biodigestão'!$Q$47,IF('C-Biodigestão'!$U$7="SIM",'C-Biodigestão'!$U$47,0)))))</f>
        <v>0</v>
      </c>
      <c r="P66" s="1525">
        <f>IF('C-Biodigestão'!$E$7="SIM",'C-Biodigestão'!$E$48,IF('C-Biodigestão'!$I$7="SIM",'C-Biodigestão'!$I$48,IF('C-Biodigestão'!$M$7="SIM",'C-Biodigestão'!$M$48,IF('C-Biodigestão'!$Q$7="SIM",'C-Biodigestão'!$Q$48,IF('C-Biodigestão'!$U$7="SIM",'C-Biodigestão'!$U$48,0)))))</f>
        <v>0</v>
      </c>
      <c r="Q66" s="194"/>
      <c r="R66" s="1000"/>
      <c r="S66" s="1001"/>
      <c r="T66" s="1001"/>
      <c r="U66" s="1001"/>
      <c r="V66" s="1001"/>
      <c r="W66" s="1001"/>
      <c r="X66" s="1001"/>
      <c r="Y66" s="1001"/>
      <c r="Z66" s="1601"/>
    </row>
    <row r="67" spans="1:26" ht="17.649999999999999" hidden="1" customHeight="1" outlineLevel="1" x14ac:dyDescent="0.25">
      <c r="A67" s="46"/>
      <c r="B67" s="1520" t="s">
        <v>603</v>
      </c>
      <c r="C67" s="1483" t="s">
        <v>328</v>
      </c>
      <c r="D67" s="1567">
        <v>1250</v>
      </c>
      <c r="E67" s="269"/>
      <c r="F67" s="1097" t="s">
        <v>132</v>
      </c>
      <c r="G67" s="1097" t="str">
        <f>'C-Compostagem'!L2</f>
        <v>Sim</v>
      </c>
      <c r="H67" s="1097">
        <f>IF('C-Compostagem'!D2&gt;0,'C-Compostagem'!H2,0)</f>
        <v>63991.846794871803</v>
      </c>
      <c r="I67" s="679"/>
      <c r="J67" s="1097" t="s">
        <v>132</v>
      </c>
      <c r="K67" s="1624">
        <f>IF('C-Compostagem'!$E$7="SIM",'C-Compostagem'!$E$19,IF('C-Compostagem'!$I$7="SIM",'C-Compostagem'!$I$19,IF('C-Compostagem'!$M$7="SIM",'C-Compostagem'!$M$19,IF('C-Compostagem'!$Q$7="SIM",'C-Compostagem'!$Q$19,IF('C-Compostagem'!$U$7="SIM",'C-Compostagem'!$U$19,0)))))</f>
        <v>19.483845674225673</v>
      </c>
      <c r="L67" s="1097">
        <f>IF('C-Compostagem'!$E$7="SIM",'C-Compostagem'!$E$20,IF('C-Compostagem'!$I$7="SIM",'C-Compostagem'!$I$20,IF('C-Compostagem'!$M$7="SIM",'C-Compostagem'!$M$20,IF('C-Compostagem'!$Q$7="SIM",'C-Compostagem'!$Q$20,IF('C-Compostagem'!$U$7="SIM",'C-Compostagem'!$U$20,0)))))</f>
        <v>304.47387675310966</v>
      </c>
      <c r="M67" s="280"/>
      <c r="N67" s="1097" t="s">
        <v>132</v>
      </c>
      <c r="O67" s="1624">
        <f>IF('C-Compostagem'!$E$7="SIM",'C-Compostagem'!$E$43,IF('C-Compostagem'!$I$7="SIM",'C-Compostagem'!$I$43,IF('C-Compostagem'!$M$7="SIM",'C-Compostagem'!$M$43,IF('C-Compostagem'!$Q$7="SIM",'C-Compostagem'!$Q$43,IF('C-Compostagem'!$U$7="SIM",'C-Compostagem'!$U$43,0)))))</f>
        <v>2.0349099492167118</v>
      </c>
      <c r="P67" s="1097">
        <f>IF('C-Compostagem'!$E$7="SIM",'C-Compostagem'!$E$42,IF('C-Compostagem'!$I$7="SIM",'C-Compostagem'!$I$42,IF('C-Compostagem'!$M$7="SIM",'C-Compostagem'!$M$42,IF('C-Compostagem'!$Q$7="SIM",'C-Compostagem'!$Q$42,IF('C-Compostagem'!$U$7="SIM",'C-Compostagem'!$U$42,0)))))</f>
        <v>31.799519019035188</v>
      </c>
      <c r="Q67" s="105"/>
      <c r="R67" s="1002"/>
      <c r="S67" s="1003"/>
      <c r="T67" s="1003"/>
      <c r="U67" s="1003"/>
      <c r="V67" s="1003"/>
      <c r="W67" s="1003"/>
      <c r="X67" s="1003"/>
      <c r="Y67" s="1003"/>
      <c r="Z67" s="1602"/>
    </row>
    <row r="68" spans="1:26" ht="17.649999999999999" hidden="1" customHeight="1" outlineLevel="1" x14ac:dyDescent="0.25">
      <c r="A68" s="34"/>
      <c r="B68" s="1520" t="s">
        <v>604</v>
      </c>
      <c r="C68" s="1482" t="s">
        <v>331</v>
      </c>
      <c r="D68" s="1567">
        <v>0</v>
      </c>
      <c r="E68" s="194"/>
      <c r="F68" s="1465" t="s">
        <v>590</v>
      </c>
      <c r="G68" s="273">
        <v>0.25</v>
      </c>
      <c r="H68" s="1557">
        <v>0</v>
      </c>
      <c r="I68" s="864"/>
      <c r="J68" s="1520"/>
      <c r="K68" s="226" t="s">
        <v>322</v>
      </c>
      <c r="L68" s="1548">
        <f>IF(K67&gt;0,K67*1000000/$D$40,0)</f>
        <v>133.450997768669</v>
      </c>
      <c r="M68" s="281"/>
      <c r="N68" s="1520" t="s">
        <v>323</v>
      </c>
      <c r="O68" s="278">
        <f>IF(H67&gt;0,((L48*D108)+(L49*D109))/$D$40,0)</f>
        <v>0</v>
      </c>
      <c r="P68" s="1506">
        <f>IF(O67&gt;0,O67*1000000/$D$40,0)</f>
        <v>13.937739378196657</v>
      </c>
      <c r="Q68" s="194"/>
      <c r="R68" s="988"/>
      <c r="S68" s="989"/>
      <c r="T68" s="989"/>
      <c r="U68" s="989"/>
      <c r="V68" s="989"/>
      <c r="W68" s="989"/>
      <c r="X68" s="989"/>
      <c r="Y68" s="989"/>
      <c r="Z68" s="1597"/>
    </row>
    <row r="69" spans="1:26" ht="17.649999999999999" hidden="1" customHeight="1" outlineLevel="1" x14ac:dyDescent="0.25">
      <c r="A69" s="34"/>
      <c r="B69" s="1520" t="s">
        <v>605</v>
      </c>
      <c r="C69" s="1482" t="s">
        <v>930</v>
      </c>
      <c r="D69" s="1567">
        <v>0</v>
      </c>
      <c r="E69" s="194"/>
      <c r="F69" s="1520" t="s">
        <v>591</v>
      </c>
      <c r="G69" s="264">
        <f>IF('C-Compostagem'!$E$7="SIM",'C-Compostagem'!$D$17,IF('C-Compostagem'!$I$7="SIM",'C-Compostagem'!$H$17,IF('C-Compostagem'!$M$7="SIM",'C-Compostagem'!$L$17,IF('C-Compostagem'!$Q$7="SIM",'C-Compostagem'!$P$17,IF('C-Compostagem'!$U$7="SIM",'C-Compostagem'!$T$17,"0")))))</f>
        <v>17012.398696278655</v>
      </c>
      <c r="H69" s="1561"/>
      <c r="I69" s="864"/>
      <c r="J69" s="1549" t="s">
        <v>324</v>
      </c>
      <c r="K69" s="271">
        <f>IF('C-Compostagem'!$E$7="SIM",'C-Compostagem'!$E$23,IF('C-Compostagem'!$I$7="SIM",'C-Compostagem'!$I$23,IF('C-Compostagem'!$M$7="SIM",'C-Compostagem'!$M$23,IF('C-Compostagem'!$Q$7="SIM",'C-Compostagem'!$Q$23,IF('C-Compostagem'!$U$7="SIM",'C-Compostagem'!$U$23,"0")))))</f>
        <v>1.1135735401110716</v>
      </c>
      <c r="L69" s="1551"/>
      <c r="M69" s="281"/>
      <c r="N69" s="1520" t="s">
        <v>325</v>
      </c>
      <c r="O69" s="278">
        <f>IF('C-Compostagem'!$E$7="SIM",'C-Compostagem'!$E$44,IF('C-Compostagem'!$I$7="SIM",'C-Compostagem'!$I$44,IF('C-Compostagem'!$M$7="SIM",'C-Compostagem'!$M$44,IF('C-Compostagem'!$Q$7="SIM",'C-Compostagem'!$Q$44,IF('C-Compostagem'!$U$7="SIM",'C-Compostagem'!$U$44,0)))))</f>
        <v>0.58606124676923077</v>
      </c>
      <c r="P69" s="1531">
        <f>IF('C-Compostagem'!$E$7="SIM",'C-Compostagem'!$E$45,IF('C-Compostagem'!$I$7="SIM",'C-Compostagem'!$I$45,IF('C-Compostagem'!$M$7="SIM",'C-Compostagem'!$M$45,IF('C-Compostagem'!$Q$7="SIM",'C-Compostagem'!$Q$45,IF('C-Compostagem'!$U$7="SIM",'C-Compostagem'!$U$45,0)))))</f>
        <v>22.641145317962433</v>
      </c>
      <c r="Q69" s="194"/>
      <c r="R69" s="988"/>
      <c r="S69" s="989"/>
      <c r="T69" s="989"/>
      <c r="U69" s="989"/>
      <c r="V69" s="989"/>
      <c r="W69" s="989"/>
      <c r="X69" s="989"/>
      <c r="Y69" s="989"/>
      <c r="Z69" s="1597"/>
    </row>
    <row r="70" spans="1:26" ht="17.649999999999999" hidden="1" customHeight="1" outlineLevel="1" x14ac:dyDescent="0.25">
      <c r="A70" s="34"/>
      <c r="B70" s="1520" t="s">
        <v>606</v>
      </c>
      <c r="C70" s="1483" t="s">
        <v>328</v>
      </c>
      <c r="D70" s="1567">
        <v>100000</v>
      </c>
      <c r="E70" s="194"/>
      <c r="F70" s="1097" t="s">
        <v>64</v>
      </c>
      <c r="G70" s="1097" t="str">
        <f>'C-Incineração'!L2</f>
        <v>Não</v>
      </c>
      <c r="H70" s="1097">
        <f>IF('C-Incineração'!D2&gt;0,'C-Incineração'!H2,0)</f>
        <v>0</v>
      </c>
      <c r="I70" s="679"/>
      <c r="J70" s="1097" t="s">
        <v>64</v>
      </c>
      <c r="K70" s="1624">
        <f>IF('C-Incineração'!$E$7="SIM",'C-Incineração'!$E$19,IF('C-Incineração'!$I$7="SIM",'C-Incineração'!$I$19,IF('C-Incineração'!$M$7="SIM",'C-Incineração'!$M$19,IF('C-Incineração'!$Q$7="SIM",'C-Incineração'!$Q$19,IF('C-Incineração'!$U$7="SIM",'C-Incineração'!$U$19,0)))))</f>
        <v>0</v>
      </c>
      <c r="L70" s="1097">
        <f>IF('C-Incineração'!$E$7="SIM",'C-Incineração'!$E$20,IF('C-Incineração'!$I$7="SIM",'C-Incineração'!$I$20,IF('C-Incineração'!$M$7="SIM",'C-Incineração'!$M$20,IF('C-Incineração'!$Q$7="SIM",'C-Incineração'!$Q$20,IF('C-Incineração'!$U$7="SIM",'C-Incineração'!$U$20,0)))))</f>
        <v>0</v>
      </c>
      <c r="M70" s="280"/>
      <c r="N70" s="1097" t="s">
        <v>64</v>
      </c>
      <c r="O70" s="1624">
        <f>IF('C-Incineração'!$E$7="SIM",'C-Incineração'!$E$52,IF('C-Incineração'!$I$7="SIM",'C-Incineração'!$I$52,IF('C-Incineração'!$M$7="SIM",'C-Incineração'!$M$52,IF('C-Incineração'!$Q$7="SIM",'C-Incineração'!$Q$52,IF('C-Incineração'!$U$7="SIM",'C-Incineração'!$U$52,0)))))</f>
        <v>0</v>
      </c>
      <c r="P70" s="1097">
        <f>IF('C-Incineração'!$E$7="SIM",'C-Incineração'!$E$51,IF('C-Incineração'!$I$7="SIM",'C-Incineração'!$I$51,IF('C-Incineração'!$M$7="SIM",'C-Incineração'!$M$51,IF('C-Incineração'!$Q$7="SIM",'C-Incineração'!$Q$51,IF('C-Incineração'!$U$7="SIM",'C-Incineração'!$U$51,0)))))</f>
        <v>0</v>
      </c>
      <c r="Q70" s="194"/>
      <c r="R70" s="988"/>
      <c r="S70" s="989"/>
      <c r="T70" s="989"/>
      <c r="U70" s="989"/>
      <c r="V70" s="989"/>
      <c r="W70" s="989"/>
      <c r="X70" s="989"/>
      <c r="Y70" s="989"/>
      <c r="Z70" s="1597"/>
    </row>
    <row r="71" spans="1:26" ht="17.649999999999999" hidden="1" customHeight="1" outlineLevel="1" x14ac:dyDescent="0.25">
      <c r="A71" s="34"/>
      <c r="B71" s="1520" t="s">
        <v>607</v>
      </c>
      <c r="C71" s="1483" t="s">
        <v>332</v>
      </c>
      <c r="D71" s="1567">
        <v>25000</v>
      </c>
      <c r="E71" s="194"/>
      <c r="F71" s="1465" t="s">
        <v>590</v>
      </c>
      <c r="G71" s="273">
        <v>0.25</v>
      </c>
      <c r="H71" s="1557">
        <v>0</v>
      </c>
      <c r="I71" s="864"/>
      <c r="J71" s="1520"/>
      <c r="K71" s="226" t="s">
        <v>322</v>
      </c>
      <c r="L71" s="1548">
        <f>IF(K70&gt;0,K70*1000000/$D$40,0)</f>
        <v>0</v>
      </c>
      <c r="M71" s="281"/>
      <c r="N71" s="1520" t="s">
        <v>323</v>
      </c>
      <c r="O71" s="278">
        <f>IF(H70&gt;0,((P43*D114))/$D$40,0)</f>
        <v>0</v>
      </c>
      <c r="P71" s="1506">
        <f>IF(O70&gt;0,O70*1000000/$D$40,0)</f>
        <v>0</v>
      </c>
      <c r="Q71" s="194"/>
      <c r="R71" s="988"/>
      <c r="S71" s="989"/>
      <c r="T71" s="989"/>
      <c r="U71" s="989"/>
      <c r="V71" s="989"/>
      <c r="W71" s="989"/>
      <c r="X71" s="989"/>
      <c r="Y71" s="989"/>
      <c r="Z71" s="1597"/>
    </row>
    <row r="72" spans="1:26" ht="17.649999999999999" hidden="1" customHeight="1" outlineLevel="1" x14ac:dyDescent="0.25">
      <c r="A72" s="47"/>
      <c r="B72" s="1520" t="s">
        <v>608</v>
      </c>
      <c r="C72" s="1483" t="s">
        <v>333</v>
      </c>
      <c r="D72" s="1565">
        <v>100</v>
      </c>
      <c r="E72" s="194"/>
      <c r="F72" s="1520" t="s">
        <v>591</v>
      </c>
      <c r="G72" s="264" t="str">
        <f>IF('C-Incineração'!$E$7="SIM",'C-Incineração'!$D$17,IF('C-Incineração'!$I$7="SIM",'C-Incineração'!$H$17,IF('C-Incineração'!$M$7="SIM",'C-Incineração'!$L$17,IF('C-Incineração'!$Q$7="SIM",'C-Incineração'!$P$17,IF('C-Incineração'!$U$7="SIM",'C-Incineração'!$T$17,"0")))))</f>
        <v>0</v>
      </c>
      <c r="H72" s="1562"/>
      <c r="I72" s="864"/>
      <c r="J72" s="1549" t="s">
        <v>324</v>
      </c>
      <c r="K72" s="271" t="str">
        <f>IF('C-Incineração'!$E$7="SIM",'C-Incineração'!$E$25,IF('C-Incineração'!$I$7="SIM",'C-Incineração'!$I$25,IF('C-Incineração'!$M$7="SIM",'C-Incineração'!$M$25,IF('C-Incineração'!$Q$7="SIM",'C-Incineração'!$Q$25,IF('C-Incineração'!$U$7="SIM",'C-Incineração'!$U$25,"0")))))</f>
        <v>0</v>
      </c>
      <c r="L72" s="1551"/>
      <c r="M72" s="281"/>
      <c r="N72" s="1520" t="s">
        <v>325</v>
      </c>
      <c r="O72" s="278">
        <f>IF('C-Incineração'!$E$7="SIM",'C-Incineração'!$E$53,IF('C-Incineração'!$I$7="SIM",'C-Incineração'!$I$53,IF('C-Incineração'!$M$7="SIM",'C-Incineração'!$M$53,IF('C-Incineração'!$Q$7="SIM",'C-Incineração'!$Q$53,IF('C-Incineração'!$U$7="SIM",'C-Incineração'!$U$53,0)))))</f>
        <v>0</v>
      </c>
      <c r="P72" s="1531">
        <f>IF('C-Incineração'!$E$7="SIM",'C-Incineração'!$E$54,IF('C-Incineração'!$I$7="SIM",'C-Incineração'!$I$54,IF('C-Incineração'!$M$7="SIM",'C-Incineração'!$M$54,IF('C-Incineração'!$Q$7="SIM",'C-Incineração'!$Q$54,IF('C-Incineração'!$U$7="SIM",'C-Incineração'!$U$54,0)))))</f>
        <v>0</v>
      </c>
      <c r="Q72" s="194"/>
      <c r="R72" s="988"/>
      <c r="S72" s="989"/>
      <c r="T72" s="989"/>
      <c r="U72" s="989"/>
      <c r="V72" s="989"/>
      <c r="W72" s="989"/>
      <c r="X72" s="989"/>
      <c r="Y72" s="989"/>
      <c r="Z72" s="1597"/>
    </row>
    <row r="73" spans="1:26" ht="17.649999999999999" hidden="1" customHeight="1" outlineLevel="1" x14ac:dyDescent="0.25">
      <c r="A73" s="34"/>
      <c r="B73" s="1520" t="s">
        <v>609</v>
      </c>
      <c r="C73" s="1482" t="s">
        <v>327</v>
      </c>
      <c r="D73" s="1565">
        <v>53</v>
      </c>
      <c r="E73" s="194"/>
      <c r="F73" s="1097" t="s">
        <v>66</v>
      </c>
      <c r="G73" s="1097" t="str">
        <f>'C-Aterro Sanitário'!L2</f>
        <v>Sim</v>
      </c>
      <c r="H73" s="1097">
        <f>IF('C-Aterro Sanitário'!D2&gt;0,'C-Aterro Sanitário'!H2,0)</f>
        <v>77890.802403846174</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19.625089710983175</v>
      </c>
      <c r="L73" s="1097">
        <f>IF('C-Aterro Sanitário'!$E$7="SIM",'C-Aterro Sanitário'!$E$19,IF('C-Aterro Sanitário'!$I$7="SIM",'C-Aterro Sanitário'!$I$19,IF('C-Aterro Sanitário'!$M$7="SIM",'C-Aterro Sanitário'!$M$19,IF('C-Aterro Sanitário'!$Q$7="SIM",'C-Aterro Sanitário'!$Q$19,IF('C-Aterro Sanitário'!$U$7="SIM",'C-Aterro Sanitário'!$U$19,0)))))</f>
        <v>251.95644550214709</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7.4985537790839292</v>
      </c>
      <c r="P73" s="1097">
        <f>IF('C-Aterro Sanitário'!$E$7="SIM",'C-Aterro Sanitário'!$E$45,IF('C-Aterro Sanitário'!$I$7="SIM",'C-Aterro Sanitário'!$I$45,IF('C-Aterro Sanitário'!$M$7="SIM",'C-Aterro Sanitário'!$M$45,IF('C-Aterro Sanitário'!$Q$7="SIM",'C-Aterro Sanitário'!$Q$45,IF('C-Aterro Sanitário'!$U$7="SIM",'C-Aterro Sanitário'!$U$45,0)))))</f>
        <v>96.270080005154213</v>
      </c>
      <c r="Q73" s="194"/>
      <c r="R73" s="988"/>
      <c r="S73" s="989"/>
      <c r="T73" s="989"/>
      <c r="U73" s="989"/>
      <c r="V73" s="989"/>
      <c r="W73" s="989"/>
      <c r="X73" s="989"/>
      <c r="Y73" s="989"/>
      <c r="Z73" s="1597"/>
    </row>
    <row r="74" spans="1:26" ht="17.649999999999999" hidden="1" customHeight="1" outlineLevel="1" x14ac:dyDescent="0.25">
      <c r="A74" s="47"/>
      <c r="B74" s="1520" t="s">
        <v>610</v>
      </c>
      <c r="C74" s="1482" t="s">
        <v>334</v>
      </c>
      <c r="D74" s="1565">
        <v>3</v>
      </c>
      <c r="E74" s="194"/>
      <c r="F74" s="1465" t="s">
        <v>590</v>
      </c>
      <c r="G74" s="273">
        <v>1</v>
      </c>
      <c r="H74" s="1605">
        <v>0</v>
      </c>
      <c r="I74" s="864"/>
      <c r="J74" s="1520"/>
      <c r="K74" s="226" t="s">
        <v>322</v>
      </c>
      <c r="L74" s="1548">
        <f>IF(K73&gt;0,K73*1000000/$D$40,0)</f>
        <v>134.41842267796696</v>
      </c>
      <c r="M74" s="281"/>
      <c r="N74" s="1520" t="s">
        <v>323</v>
      </c>
      <c r="O74" s="278">
        <f>IF(H73&gt;0,((P44*D114+P46*D117))/$D$40,0)</f>
        <v>0</v>
      </c>
      <c r="P74" s="1506">
        <f>IF(O73&gt;0,O73*1000000/$D$40,0)</f>
        <v>51.359957390985812</v>
      </c>
      <c r="Q74" s="194"/>
      <c r="R74" s="988"/>
      <c r="S74" s="989"/>
      <c r="T74" s="989"/>
      <c r="U74" s="989"/>
      <c r="V74" s="989"/>
      <c r="W74" s="989"/>
      <c r="X74" s="989"/>
      <c r="Y74" s="989"/>
      <c r="Z74" s="1597"/>
    </row>
    <row r="75" spans="1:26" ht="17.649999999999999" hidden="1" customHeight="1" outlineLevel="1" x14ac:dyDescent="0.25">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23.82885837981302</v>
      </c>
      <c r="L75" s="1531">
        <f>IF(K73&gt;0,K75*1000000/(H73*20),0)</f>
        <v>15.296323599457729</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2.1593616708749361</v>
      </c>
      <c r="P75" s="1531">
        <f>IF('C-Aterro Sanitário'!$E$7="SIM",'C-Aterro Sanitário'!$E$48,IF('C-Aterro Sanitário'!$I$7="SIM",'C-Aterro Sanitário'!$I$48,IF('C-Aterro Sanitário'!$M$7="SIM",'C-Aterro Sanitário'!$M$48,IF('C-Aterro Sanitário'!$Q$7="SIM",'C-Aterro Sanitário'!$Q$48,IF('C-Aterro Sanitário'!$U$7="SIM",'C-Aterro Sanitário'!$U$48,0)))))</f>
        <v>68.547144764621763</v>
      </c>
      <c r="Q75" s="194"/>
      <c r="R75" s="988"/>
      <c r="S75" s="989"/>
      <c r="T75" s="989"/>
      <c r="U75" s="989"/>
      <c r="V75" s="989"/>
      <c r="W75" s="989"/>
      <c r="X75" s="989"/>
      <c r="Y75" s="989"/>
      <c r="Z75" s="1597"/>
    </row>
    <row r="76" spans="1:26" ht="17.649999999999999" hidden="1" customHeight="1" outlineLevel="1" x14ac:dyDescent="0.25">
      <c r="A76" s="47"/>
      <c r="B76" s="1520" t="s">
        <v>612</v>
      </c>
      <c r="C76" s="1483" t="s">
        <v>923</v>
      </c>
      <c r="D76" s="2086">
        <v>1.0780000000000001</v>
      </c>
      <c r="E76" s="194"/>
      <c r="F76" s="1465" t="s">
        <v>336</v>
      </c>
      <c r="G76" s="275">
        <f>IF(K78&lt;&gt;0,(G53*K52+G56*K55+G59*K58+G62*K61+G65*K64+G68*K67+G71*K70+G74*K73)/K78,0)</f>
        <v>0.35406139156348421</v>
      </c>
      <c r="H76" s="1563"/>
      <c r="I76" s="864"/>
      <c r="J76" s="1465"/>
      <c r="K76" s="276"/>
      <c r="L76" s="1537"/>
      <c r="M76" s="281"/>
      <c r="N76" s="1520"/>
      <c r="O76" s="1481"/>
      <c r="P76" s="1538"/>
      <c r="Q76" s="194"/>
      <c r="R76" s="988"/>
      <c r="S76" s="989"/>
      <c r="T76" s="989"/>
      <c r="U76" s="989"/>
      <c r="V76" s="989"/>
      <c r="W76" s="989"/>
      <c r="X76" s="989"/>
      <c r="Y76" s="989"/>
      <c r="Z76" s="1597"/>
    </row>
    <row r="77" spans="1:26" ht="17.649999999999999" hidden="1" customHeight="1" outlineLevel="1" x14ac:dyDescent="0.25">
      <c r="A77" s="34"/>
      <c r="B77" s="1520" t="s">
        <v>613</v>
      </c>
      <c r="C77" s="1483" t="s">
        <v>923</v>
      </c>
      <c r="D77" s="2086">
        <v>7.26</v>
      </c>
      <c r="E77" s="194"/>
      <c r="F77" s="1465" t="s">
        <v>593</v>
      </c>
      <c r="G77" s="263">
        <f>G54+G57+G60+G63+G66+G69+G72</f>
        <v>34154.172050210516</v>
      </c>
      <c r="H77" s="1561"/>
      <c r="I77" s="864"/>
      <c r="J77" s="1552" t="s">
        <v>337</v>
      </c>
      <c r="K77" s="279">
        <f>K54+K57+K60+K63+K66+K69+K72</f>
        <v>3.1769560393322624</v>
      </c>
      <c r="L77" s="1521" t="s">
        <v>338</v>
      </c>
      <c r="M77" s="281"/>
      <c r="N77" s="1520"/>
      <c r="O77" s="1481"/>
      <c r="P77" s="1538"/>
      <c r="Q77" s="194"/>
      <c r="R77" s="988"/>
      <c r="S77" s="989"/>
      <c r="T77" s="989"/>
      <c r="U77" s="989"/>
      <c r="V77" s="989"/>
      <c r="W77" s="989"/>
      <c r="X77" s="989"/>
      <c r="Y77" s="989"/>
      <c r="Z77" s="1597"/>
    </row>
    <row r="78" spans="1:26" ht="17.649999999999999" hidden="1" customHeight="1" outlineLevel="1" thickBot="1" x14ac:dyDescent="0.3">
      <c r="A78" s="34"/>
      <c r="B78" s="2082" t="s">
        <v>1118</v>
      </c>
      <c r="C78" s="869" t="s">
        <v>1117</v>
      </c>
      <c r="D78" s="2087">
        <v>2.2000000000000002</v>
      </c>
      <c r="E78" s="194"/>
      <c r="F78" s="2275" t="s">
        <v>615</v>
      </c>
      <c r="G78" s="2276"/>
      <c r="H78" s="1541">
        <f>'R-Resumo Bal. Massa'!D16*312</f>
        <v>146000.00000000003</v>
      </c>
      <c r="I78" s="679"/>
      <c r="J78" s="1539" t="s">
        <v>339</v>
      </c>
      <c r="K78" s="1540">
        <f>K52+K55+K58+K61+K64+K67+K70+K73</f>
        <v>141.44359461364644</v>
      </c>
      <c r="L78" s="1541">
        <f>K78*1000000/H78</f>
        <v>968.7917439290851</v>
      </c>
      <c r="M78" s="280"/>
      <c r="N78" s="1539" t="s">
        <v>597</v>
      </c>
      <c r="O78" s="1540">
        <f>O52+O55+O58+O61+O64+O67+O70+O73</f>
        <v>24.303236260123519</v>
      </c>
      <c r="P78" s="1541">
        <f>O78*1000000/H78</f>
        <v>166.46052232961313</v>
      </c>
      <c r="Q78" s="194"/>
      <c r="R78" s="988"/>
      <c r="S78" s="989"/>
      <c r="T78" s="989"/>
      <c r="U78" s="989"/>
      <c r="V78" s="989"/>
      <c r="W78" s="989"/>
      <c r="X78" s="989"/>
      <c r="Y78" s="989"/>
      <c r="Z78" s="1597"/>
    </row>
    <row r="79" spans="1:26" ht="15" hidden="1" customHeight="1" outlineLevel="1" thickTop="1" thickBot="1" x14ac:dyDescent="0.3">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15" customHeight="1" thickBot="1" x14ac:dyDescent="0.3">
      <c r="A80" s="41"/>
      <c r="B80" s="148"/>
      <c r="C80" s="261"/>
      <c r="D80" s="261"/>
      <c r="E80" s="725"/>
      <c r="Q80" s="41"/>
      <c r="R80" s="1004"/>
      <c r="S80" s="1005"/>
      <c r="T80" s="1005"/>
      <c r="U80" s="1005"/>
      <c r="V80" s="1005"/>
      <c r="W80" s="1005"/>
      <c r="X80" s="1005"/>
      <c r="Y80" s="1005"/>
      <c r="Z80" s="1603"/>
    </row>
    <row r="81" spans="1:26" ht="17.649999999999999" customHeight="1" collapsed="1" thickTop="1" x14ac:dyDescent="0.25">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649999999999999" hidden="1" customHeight="1" outlineLevel="1" x14ac:dyDescent="0.25">
      <c r="A82" s="36"/>
      <c r="B82" s="1520" t="s">
        <v>616</v>
      </c>
      <c r="C82" s="516" t="s">
        <v>342</v>
      </c>
      <c r="D82" s="1571">
        <v>498</v>
      </c>
      <c r="E82" s="504"/>
      <c r="F82" s="1520" t="s">
        <v>717</v>
      </c>
      <c r="G82" s="1482" t="s">
        <v>292</v>
      </c>
      <c r="H82" s="1543">
        <f>((L36)*D101+(L37)*D102+(L38)*D103+(L39)*D104+(L40+L42)*D105+(L41+L43)*D106)/1000000</f>
        <v>7.4741456359225236</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94.488392909522702</v>
      </c>
      <c r="Q82" s="504"/>
      <c r="R82" s="1006"/>
      <c r="S82" s="989"/>
      <c r="T82" s="989"/>
      <c r="U82" s="989"/>
      <c r="V82" s="989"/>
      <c r="W82" s="989"/>
      <c r="X82" s="989"/>
      <c r="Y82" s="989"/>
      <c r="Z82" s="1597"/>
    </row>
    <row r="83" spans="1:26" ht="17.649999999999999" hidden="1" customHeight="1" outlineLevel="1" x14ac:dyDescent="0.25">
      <c r="A83" s="36"/>
      <c r="B83" s="1520" t="s">
        <v>617</v>
      </c>
      <c r="C83" s="516" t="s">
        <v>342</v>
      </c>
      <c r="D83" s="1571">
        <v>0</v>
      </c>
      <c r="E83" s="504"/>
      <c r="F83" s="1520" t="s">
        <v>620</v>
      </c>
      <c r="G83" s="1482" t="s">
        <v>292</v>
      </c>
      <c r="H83" s="1543">
        <f>((L44+L45)*D112+(L46+L47)*D111)/1000000</f>
        <v>2.8421302460526041</v>
      </c>
      <c r="I83" s="151"/>
      <c r="J83" s="1520" t="s">
        <v>626</v>
      </c>
      <c r="K83" s="1482" t="s">
        <v>292</v>
      </c>
      <c r="L83" s="1543">
        <f>D83*D42/1000000</f>
        <v>0</v>
      </c>
      <c r="M83" s="504"/>
      <c r="N83" s="1520" t="s">
        <v>988</v>
      </c>
      <c r="O83" s="516" t="s">
        <v>344</v>
      </c>
      <c r="P83" s="1581">
        <f>IF(O67&lt;&gt;0,O67*1000000/(H37+H38),0)</f>
        <v>65.387099012592543</v>
      </c>
      <c r="Q83" s="504"/>
      <c r="R83" s="1006"/>
      <c r="S83" s="989"/>
      <c r="T83" s="989"/>
      <c r="U83" s="989"/>
      <c r="V83" s="989"/>
      <c r="W83" s="989"/>
      <c r="X83" s="989"/>
      <c r="Y83" s="989"/>
      <c r="Z83" s="1597"/>
    </row>
    <row r="84" spans="1:26" ht="17.649999999999999" hidden="1" customHeight="1" outlineLevel="1" x14ac:dyDescent="0.25">
      <c r="A84" s="36"/>
      <c r="B84" s="1520" t="s">
        <v>618</v>
      </c>
      <c r="C84" s="516" t="s">
        <v>342</v>
      </c>
      <c r="D84" s="1571">
        <v>42.8</v>
      </c>
      <c r="E84" s="504"/>
      <c r="F84" s="1520" t="s">
        <v>718</v>
      </c>
      <c r="G84" s="1482" t="s">
        <v>292</v>
      </c>
      <c r="H84" s="1543">
        <f>(L48*D108+L49*D109)/1000000</f>
        <v>0</v>
      </c>
      <c r="I84" s="151"/>
      <c r="J84" s="1520" t="s">
        <v>627</v>
      </c>
      <c r="K84" s="1482" t="s">
        <v>292</v>
      </c>
      <c r="L84" s="1543">
        <f>D84*D43/1000000</f>
        <v>6.248800000000001</v>
      </c>
      <c r="M84" s="504"/>
      <c r="N84" s="1520" t="s">
        <v>719</v>
      </c>
      <c r="O84" s="516" t="s">
        <v>345</v>
      </c>
      <c r="P84" s="1581">
        <f>IF(O52&lt;&gt;0,O52*1000000/(SUM(P36:P41)),0)</f>
        <v>0</v>
      </c>
      <c r="Q84" s="504"/>
      <c r="R84" s="1006"/>
      <c r="S84" s="989"/>
      <c r="T84" s="989"/>
      <c r="U84" s="989"/>
      <c r="V84" s="989"/>
      <c r="W84" s="989"/>
      <c r="X84" s="989"/>
      <c r="Y84" s="989"/>
      <c r="Z84" s="1597"/>
    </row>
    <row r="85" spans="1:26" ht="17.649999999999999" hidden="1" customHeight="1" outlineLevel="1" x14ac:dyDescent="0.25">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0</v>
      </c>
      <c r="I85" s="151"/>
      <c r="J85" s="1520" t="s">
        <v>628</v>
      </c>
      <c r="K85" s="1482" t="s">
        <v>292</v>
      </c>
      <c r="L85" s="1543">
        <f>IF('R-Definição'!O120="Sim",D85*D43/1000000,0)</f>
        <v>0</v>
      </c>
      <c r="M85" s="504"/>
      <c r="N85" s="1520" t="s">
        <v>720</v>
      </c>
      <c r="O85" s="516" t="s">
        <v>345</v>
      </c>
      <c r="P85" s="1581">
        <f>IF(O55&lt;&gt;0,O55*1000000/(SUM(L36:L41)),0)</f>
        <v>957.26428622600906</v>
      </c>
      <c r="Q85" s="504"/>
      <c r="R85" s="1006"/>
      <c r="S85" s="989"/>
      <c r="T85" s="989"/>
      <c r="U85" s="989"/>
      <c r="V85" s="989"/>
      <c r="W85" s="989"/>
      <c r="X85" s="989"/>
      <c r="Y85" s="989"/>
      <c r="Z85" s="1597"/>
    </row>
    <row r="86" spans="1:26" ht="17.649999999999999" hidden="1" customHeight="1" outlineLevel="1" x14ac:dyDescent="0.25">
      <c r="A86" s="36"/>
      <c r="B86" s="1520"/>
      <c r="C86" s="1722"/>
      <c r="D86" s="1572"/>
      <c r="E86" s="504"/>
      <c r="F86" s="1520" t="s">
        <v>622</v>
      </c>
      <c r="G86" s="1482" t="s">
        <v>292</v>
      </c>
      <c r="H86" s="1543">
        <f>P42*D114/1000000</f>
        <v>0</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649999999999999" hidden="1" customHeight="1" outlineLevel="1" x14ac:dyDescent="0.25">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0</v>
      </c>
      <c r="Q87" s="504"/>
      <c r="R87" s="1006"/>
      <c r="S87" s="989"/>
      <c r="T87" s="989"/>
      <c r="U87" s="989"/>
      <c r="V87" s="989"/>
      <c r="W87" s="989"/>
      <c r="X87" s="989"/>
      <c r="Y87" s="989"/>
      <c r="Z87" s="1597"/>
    </row>
    <row r="88" spans="1:26" ht="17.649999999999999" hidden="1" customHeight="1" outlineLevel="1" x14ac:dyDescent="0.25">
      <c r="A88" s="36"/>
      <c r="B88" s="1520" t="s">
        <v>940</v>
      </c>
      <c r="C88" s="1722" t="s">
        <v>342</v>
      </c>
      <c r="D88" s="1567">
        <v>50</v>
      </c>
      <c r="E88" s="504"/>
      <c r="F88" s="1520" t="s">
        <v>820</v>
      </c>
      <c r="G88" s="1482" t="s">
        <v>292</v>
      </c>
      <c r="H88" s="1543">
        <f>P45*D117/1000000</f>
        <v>0</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649999999999999" hidden="1" customHeight="1" outlineLevel="1" x14ac:dyDescent="0.25">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649999999999999" hidden="1" customHeight="1" outlineLevel="1" thickBot="1" x14ac:dyDescent="0.3">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649999999999999" hidden="1" customHeight="1" outlineLevel="1" thickTop="1" x14ac:dyDescent="0.25">
      <c r="A91" s="36"/>
      <c r="B91" s="1520"/>
      <c r="C91" s="1722"/>
      <c r="D91" s="1572"/>
      <c r="E91" s="504"/>
      <c r="F91" s="1555" t="s">
        <v>826</v>
      </c>
      <c r="G91" s="266" t="s">
        <v>292</v>
      </c>
      <c r="H91" s="1546">
        <f>SUM(H82:H89)</f>
        <v>10.316275881975127</v>
      </c>
      <c r="I91" s="269"/>
      <c r="J91" s="1545" t="s">
        <v>561</v>
      </c>
      <c r="K91" s="266" t="s">
        <v>292</v>
      </c>
      <c r="L91" s="1546">
        <f>SUM(L82:L85)</f>
        <v>6.248800000000001</v>
      </c>
      <c r="M91" s="504"/>
      <c r="N91" s="269"/>
      <c r="O91" s="504"/>
      <c r="P91" s="504"/>
      <c r="Q91" s="504"/>
      <c r="R91" s="1006"/>
      <c r="S91" s="989"/>
      <c r="T91" s="989"/>
      <c r="U91" s="989"/>
      <c r="V91" s="989"/>
      <c r="W91" s="989"/>
      <c r="X91" s="989"/>
      <c r="Y91" s="989"/>
      <c r="Z91" s="1597"/>
    </row>
    <row r="92" spans="1:26" ht="17.649999999999999" hidden="1" customHeight="1" outlineLevel="1" x14ac:dyDescent="0.25">
      <c r="A92" s="36"/>
      <c r="B92" s="1520"/>
      <c r="C92" s="1722"/>
      <c r="D92" s="1572"/>
      <c r="E92" s="504"/>
      <c r="F92" s="1505" t="s">
        <v>347</v>
      </c>
      <c r="G92" s="1482" t="s">
        <v>342</v>
      </c>
      <c r="H92" s="1531">
        <f>H91*1000000/D40</f>
        <v>70.659423849144702</v>
      </c>
      <c r="I92" s="151"/>
      <c r="J92" s="1520" t="s">
        <v>629</v>
      </c>
      <c r="K92" s="1482" t="s">
        <v>342</v>
      </c>
      <c r="L92" s="1531">
        <f>L91*1000000/D40</f>
        <v>42.800000000000004</v>
      </c>
      <c r="M92" s="504"/>
      <c r="N92" s="504"/>
      <c r="O92" s="504"/>
      <c r="P92" s="504"/>
      <c r="Q92" s="504"/>
      <c r="R92" s="1006"/>
      <c r="S92" s="989"/>
      <c r="T92" s="989"/>
      <c r="U92" s="989"/>
      <c r="V92" s="989"/>
      <c r="W92" s="989"/>
      <c r="X92" s="989"/>
      <c r="Y92" s="989"/>
      <c r="Z92" s="1597"/>
    </row>
    <row r="93" spans="1:26" ht="15" hidden="1" customHeight="1" outlineLevel="1" thickBot="1" x14ac:dyDescent="0.3">
      <c r="A93" s="36"/>
      <c r="B93" s="1522"/>
      <c r="C93" s="1508"/>
      <c r="D93" s="2000"/>
      <c r="E93" s="504"/>
      <c r="F93" s="1507" t="s">
        <v>822</v>
      </c>
      <c r="G93" s="1508" t="s">
        <v>929</v>
      </c>
      <c r="H93" s="1547">
        <f>H92*($D$7*30/$D$6)</f>
        <v>2.4100020263414694</v>
      </c>
      <c r="I93" s="151"/>
      <c r="J93" s="1522" t="s">
        <v>823</v>
      </c>
      <c r="K93" s="1508" t="s">
        <v>299</v>
      </c>
      <c r="L93" s="1547">
        <f>L92*($D$7*30/$D$6)</f>
        <v>1.4597923547697236</v>
      </c>
      <c r="M93" s="504"/>
      <c r="N93" s="504"/>
      <c r="O93" s="504"/>
      <c r="P93" s="504"/>
      <c r="Q93" s="504"/>
      <c r="R93" s="1006"/>
      <c r="S93" s="989"/>
      <c r="T93" s="989"/>
      <c r="U93" s="989"/>
      <c r="V93" s="989"/>
      <c r="W93" s="989"/>
      <c r="X93" s="989"/>
      <c r="Y93" s="989"/>
      <c r="Z93" s="1597"/>
    </row>
    <row r="94" spans="1:26" s="862" customFormat="1" ht="19.899999999999999" hidden="1" customHeight="1" outlineLevel="1" thickTop="1" thickBot="1" x14ac:dyDescent="0.3">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899999999999999" hidden="1" customHeight="1" outlineLevel="1" thickTop="1" thickBot="1" x14ac:dyDescent="0.3">
      <c r="A95" s="41"/>
      <c r="B95" s="2268" t="s">
        <v>886</v>
      </c>
      <c r="C95" s="2269"/>
      <c r="D95" s="2269"/>
      <c r="E95" s="2269"/>
      <c r="F95" s="2269"/>
      <c r="G95" s="2269"/>
      <c r="H95" s="2269"/>
      <c r="I95" s="2269"/>
      <c r="J95" s="2269"/>
      <c r="K95" s="2269"/>
      <c r="L95" s="2270"/>
      <c r="M95" s="41"/>
      <c r="N95" s="41"/>
      <c r="O95" s="41"/>
      <c r="P95" s="41"/>
      <c r="Q95" s="41"/>
      <c r="R95" s="2088"/>
      <c r="S95" s="2089"/>
      <c r="T95" s="2089"/>
      <c r="U95" s="2089"/>
      <c r="V95" s="2089"/>
      <c r="W95" s="2089"/>
      <c r="X95" s="2089"/>
      <c r="Y95" s="2089"/>
      <c r="Z95" s="2090"/>
    </row>
    <row r="96" spans="1:26" s="1717" customFormat="1" ht="10.15" hidden="1" customHeight="1" outlineLevel="1" thickTop="1" thickBot="1" x14ac:dyDescent="0.3">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649999999999999" hidden="1" customHeight="1" outlineLevel="1" thickTop="1" x14ac:dyDescent="0.25">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649999999999999" hidden="1" customHeight="1" outlineLevel="1" x14ac:dyDescent="0.25">
      <c r="A98" s="36"/>
      <c r="B98" s="1465" t="s">
        <v>1018</v>
      </c>
      <c r="C98" s="265" t="s">
        <v>308</v>
      </c>
      <c r="D98" s="1529" t="s">
        <v>6</v>
      </c>
      <c r="E98" s="504"/>
      <c r="F98" s="1465" t="s">
        <v>624</v>
      </c>
      <c r="G98" s="226" t="s">
        <v>292</v>
      </c>
      <c r="H98" s="1573">
        <f>O78+H9</f>
        <v>27.24933376012352</v>
      </c>
      <c r="I98" s="151"/>
      <c r="J98" s="1465" t="s">
        <v>632</v>
      </c>
      <c r="K98" s="226" t="s">
        <v>292</v>
      </c>
      <c r="L98" s="1573">
        <f>H98+L91</f>
        <v>33.498133760123523</v>
      </c>
      <c r="M98" s="504"/>
      <c r="N98" s="504"/>
      <c r="O98" s="504"/>
      <c r="P98" s="504"/>
      <c r="Q98" s="504"/>
      <c r="R98" s="1006"/>
      <c r="S98" s="989"/>
      <c r="T98" s="989"/>
      <c r="U98" s="989"/>
      <c r="V98" s="989"/>
      <c r="W98" s="989"/>
      <c r="X98" s="989"/>
      <c r="Y98" s="989"/>
      <c r="Z98" s="1597"/>
    </row>
    <row r="99" spans="1:26" ht="17.649999999999999" hidden="1" customHeight="1" outlineLevel="1" thickBot="1" x14ac:dyDescent="0.3">
      <c r="A99" s="36"/>
      <c r="B99" s="1520" t="s">
        <v>1019</v>
      </c>
      <c r="C99" s="1722" t="s">
        <v>195</v>
      </c>
      <c r="D99" s="1781">
        <v>1</v>
      </c>
      <c r="E99" s="504"/>
      <c r="F99" s="1520" t="s">
        <v>624</v>
      </c>
      <c r="G99" s="1482" t="s">
        <v>342</v>
      </c>
      <c r="H99" s="1579">
        <f>H98*1000000/D40</f>
        <v>186.63927232961316</v>
      </c>
      <c r="I99" s="151"/>
      <c r="J99" s="1520" t="s">
        <v>633</v>
      </c>
      <c r="K99" s="1482" t="s">
        <v>342</v>
      </c>
      <c r="L99" s="1579">
        <f>L98*1000000/D40</f>
        <v>229.43927232961315</v>
      </c>
      <c r="M99" s="504"/>
      <c r="N99" s="504"/>
      <c r="O99" s="504"/>
      <c r="P99" s="504"/>
      <c r="Q99" s="504"/>
      <c r="R99" s="1006"/>
      <c r="S99" s="989"/>
      <c r="T99" s="989"/>
      <c r="U99" s="989"/>
      <c r="V99" s="989"/>
      <c r="W99" s="989"/>
      <c r="X99" s="989"/>
      <c r="Y99" s="989"/>
      <c r="Z99" s="1597"/>
    </row>
    <row r="100" spans="1:26" ht="17.649999999999999" hidden="1" customHeight="1" outlineLevel="1" thickTop="1" thickBot="1" x14ac:dyDescent="0.3">
      <c r="A100" s="36"/>
      <c r="B100" s="1520" t="s">
        <v>1059</v>
      </c>
      <c r="C100" s="1728" t="s">
        <v>195</v>
      </c>
      <c r="D100" s="1530">
        <v>0.25</v>
      </c>
      <c r="E100" s="504"/>
      <c r="F100" s="1522" t="s">
        <v>824</v>
      </c>
      <c r="G100" s="1508" t="s">
        <v>929</v>
      </c>
      <c r="H100" s="1580">
        <f>H99*($D$7*30/$D$6)</f>
        <v>6.3657612814615341</v>
      </c>
      <c r="I100" s="151"/>
      <c r="J100" s="1522" t="s">
        <v>825</v>
      </c>
      <c r="K100" s="1508" t="s">
        <v>299</v>
      </c>
      <c r="L100" s="1580">
        <f>L99*($D$7*30/$D$6)</f>
        <v>7.8255536362312572</v>
      </c>
      <c r="M100" s="504"/>
      <c r="N100" s="504"/>
      <c r="O100" s="504"/>
      <c r="P100" s="504"/>
      <c r="Q100" s="504"/>
      <c r="R100" s="1006"/>
      <c r="S100" s="989"/>
      <c r="T100" s="989"/>
      <c r="U100" s="989"/>
      <c r="V100" s="989"/>
      <c r="W100" s="989"/>
      <c r="X100" s="989"/>
      <c r="Y100" s="989"/>
      <c r="Z100" s="1597"/>
    </row>
    <row r="101" spans="1:26" ht="17.649999999999999" hidden="1" customHeight="1" outlineLevel="1" thickTop="1" x14ac:dyDescent="0.25">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649999999999999" hidden="1" customHeight="1" outlineLevel="1" x14ac:dyDescent="0.25">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649999999999999" hidden="1" customHeight="1" outlineLevel="1" x14ac:dyDescent="0.25">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649999999999999" hidden="1" customHeight="1" outlineLevel="1" x14ac:dyDescent="0.25">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649999999999999" hidden="1" customHeight="1" outlineLevel="1" x14ac:dyDescent="0.25">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649999999999999" hidden="1" customHeight="1" outlineLevel="1" x14ac:dyDescent="0.25">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649999999999999" hidden="1" customHeight="1" outlineLevel="1" x14ac:dyDescent="0.25">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649999999999999" hidden="1" customHeight="1" outlineLevel="1" x14ac:dyDescent="0.25">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649999999999999" hidden="1" customHeight="1" outlineLevel="1" x14ac:dyDescent="0.25">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649999999999999" hidden="1" customHeight="1" outlineLevel="1" x14ac:dyDescent="0.25">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649999999999999" hidden="1" customHeight="1" outlineLevel="1" x14ac:dyDescent="0.25">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649999999999999" hidden="1" customHeight="1" outlineLevel="1" x14ac:dyDescent="0.25">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649999999999999" hidden="1" customHeight="1" outlineLevel="1" x14ac:dyDescent="0.25">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649999999999999" hidden="1" customHeight="1" outlineLevel="1" x14ac:dyDescent="0.25">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649999999999999" hidden="1" customHeight="1" outlineLevel="1" x14ac:dyDescent="0.25">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hidden="1" customHeight="1" outlineLevel="1" x14ac:dyDescent="0.25">
      <c r="B116" s="1520"/>
      <c r="C116" s="1482"/>
      <c r="D116" s="1572"/>
      <c r="E116" s="84"/>
      <c r="F116" s="84"/>
      <c r="G116" s="84"/>
      <c r="H116" s="84"/>
      <c r="I116" s="84"/>
      <c r="J116" s="84"/>
      <c r="K116" s="232"/>
      <c r="L116" s="84"/>
      <c r="M116" s="84"/>
      <c r="N116" s="84"/>
      <c r="O116" s="84"/>
      <c r="P116" s="84"/>
      <c r="Q116" s="84"/>
      <c r="R116" s="1007"/>
    </row>
    <row r="117" spans="1:26" ht="15" hidden="1" customHeight="1" outlineLevel="1" x14ac:dyDescent="0.25">
      <c r="B117" s="1520" t="s">
        <v>1057</v>
      </c>
      <c r="C117" s="1482" t="s">
        <v>346</v>
      </c>
      <c r="D117" s="1565">
        <v>1.5</v>
      </c>
    </row>
    <row r="118" spans="1:26" ht="15" hidden="1" customHeight="1" outlineLevel="1" thickBot="1" x14ac:dyDescent="0.3">
      <c r="B118" s="1522" t="s">
        <v>1058</v>
      </c>
      <c r="C118" s="1508" t="s">
        <v>346</v>
      </c>
      <c r="D118" s="1570">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63" customWidth="1"/>
    <col min="2" max="2" width="65.7109375" style="65" customWidth="1"/>
    <col min="3" max="3" width="20.7109375" style="66" customWidth="1"/>
    <col min="4" max="4" width="18.28515625" style="65" customWidth="1"/>
    <col min="5" max="5" width="3.28515625" style="65" customWidth="1"/>
    <col min="6" max="7" width="30.7109375" style="65" customWidth="1"/>
    <col min="8" max="8" width="18.28515625" style="65" customWidth="1"/>
    <col min="9" max="9" width="3.42578125" style="65" customWidth="1"/>
    <col min="10" max="13" width="18.28515625" style="65" customWidth="1"/>
    <col min="14" max="14" width="5" style="65" customWidth="1"/>
    <col min="15" max="15" width="18.28515625" style="65" customWidth="1" outlineLevel="1"/>
    <col min="16" max="16" width="3.42578125" style="65" customWidth="1" outlineLevel="1"/>
    <col min="17" max="17" width="18.28515625" style="65" customWidth="1" outlineLevel="1"/>
    <col min="18" max="18" width="3.42578125" style="65" customWidth="1" outlineLevel="1"/>
    <col min="19" max="19" width="18.28515625" style="65" customWidth="1" outlineLevel="1"/>
    <col min="20" max="21" width="23.28515625" style="65" customWidth="1" outlineLevel="1"/>
    <col min="22" max="22" width="28.42578125" style="65" customWidth="1" outlineLevel="1"/>
    <col min="23" max="23" width="23.28515625" style="66" customWidth="1" outlineLevel="1"/>
    <col min="24" max="24" width="28.42578125" style="65" customWidth="1" outlineLevel="1"/>
    <col min="25" max="25" width="21.85546875" style="66" customWidth="1" outlineLevel="1"/>
    <col min="26" max="26" width="11.28515625" style="65" customWidth="1" outlineLevel="1"/>
    <col min="27" max="27" width="8.7109375" style="65" customWidth="1" outlineLevel="1"/>
    <col min="28" max="16384" width="14.42578125" style="63"/>
  </cols>
  <sheetData>
    <row r="1" spans="1:28" ht="4.9000000000000004" customHeight="1" x14ac:dyDescent="0.25"/>
    <row r="2" spans="1:28" s="262" customFormat="1" ht="17.649999999999999" customHeight="1" x14ac:dyDescent="0.25">
      <c r="A2" s="467"/>
      <c r="B2" s="2337" t="s">
        <v>971</v>
      </c>
      <c r="C2" s="2337"/>
      <c r="D2" s="2337"/>
      <c r="E2" s="2337"/>
      <c r="F2" s="2337"/>
      <c r="G2" s="2337"/>
      <c r="H2" s="2337"/>
      <c r="I2" s="2337"/>
      <c r="J2" s="2337"/>
      <c r="K2" s="2337"/>
      <c r="L2" s="2337"/>
      <c r="M2" s="2337"/>
      <c r="N2" s="458"/>
      <c r="O2" s="2336" t="s">
        <v>644</v>
      </c>
      <c r="P2" s="2336"/>
      <c r="Q2" s="2336"/>
      <c r="R2" s="2336"/>
      <c r="S2" s="2336"/>
      <c r="T2" s="2336"/>
      <c r="U2" s="2336"/>
      <c r="V2" s="2336"/>
      <c r="W2" s="2336"/>
      <c r="X2" s="2336"/>
      <c r="Y2" s="2336"/>
      <c r="Z2" s="2336"/>
      <c r="AA2" s="2336"/>
      <c r="AB2" s="473"/>
    </row>
    <row r="3" spans="1:28" s="905" customFormat="1" ht="17.649999999999999" customHeight="1" x14ac:dyDescent="0.25">
      <c r="A3" s="903"/>
      <c r="B3" s="2337"/>
      <c r="C3" s="2337"/>
      <c r="D3" s="2337"/>
      <c r="E3" s="2337"/>
      <c r="F3" s="2337"/>
      <c r="G3" s="2337"/>
      <c r="H3" s="2337"/>
      <c r="I3" s="2337"/>
      <c r="J3" s="2337"/>
      <c r="K3" s="2337"/>
      <c r="L3" s="2337"/>
      <c r="M3" s="2337"/>
      <c r="N3" s="904"/>
      <c r="O3" s="2336"/>
      <c r="P3" s="2336"/>
      <c r="Q3" s="2336"/>
      <c r="R3" s="2336"/>
      <c r="S3" s="2336"/>
      <c r="T3" s="2336"/>
      <c r="U3" s="2336"/>
      <c r="V3" s="2336"/>
      <c r="W3" s="2336"/>
      <c r="X3" s="2336"/>
      <c r="Y3" s="2336"/>
      <c r="Z3" s="2336"/>
      <c r="AA3" s="2336"/>
      <c r="AB3" s="473"/>
    </row>
    <row r="4" spans="1:28" s="262" customFormat="1" ht="7.5" customHeight="1" thickBot="1" x14ac:dyDescent="0.3">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899999999999999" customHeight="1" collapsed="1" thickTop="1" x14ac:dyDescent="0.25">
      <c r="A5" s="458"/>
      <c r="B5" s="1501" t="s">
        <v>951</v>
      </c>
      <c r="C5" s="1502" t="s">
        <v>348</v>
      </c>
      <c r="D5" s="1503" t="s">
        <v>289</v>
      </c>
      <c r="E5" s="458"/>
      <c r="F5" s="1514" t="s">
        <v>952</v>
      </c>
      <c r="G5" s="1502" t="s">
        <v>349</v>
      </c>
      <c r="H5" s="1503" t="s">
        <v>350</v>
      </c>
      <c r="I5" s="458"/>
      <c r="J5" s="2318" t="s">
        <v>351</v>
      </c>
      <c r="K5" s="2316" t="s">
        <v>352</v>
      </c>
      <c r="L5" s="458"/>
      <c r="M5" s="459"/>
      <c r="N5" s="458"/>
      <c r="O5" s="2344" t="s">
        <v>877</v>
      </c>
      <c r="P5" s="458"/>
      <c r="Q5" s="2344" t="s">
        <v>878</v>
      </c>
      <c r="R5" s="458"/>
      <c r="S5" s="2344" t="s">
        <v>879</v>
      </c>
      <c r="T5" s="458"/>
      <c r="U5" s="2344" t="s">
        <v>880</v>
      </c>
      <c r="V5" s="458"/>
      <c r="W5" s="2344" t="s">
        <v>881</v>
      </c>
      <c r="X5" s="458"/>
      <c r="Y5" s="2344" t="s">
        <v>887</v>
      </c>
      <c r="Z5" s="458"/>
      <c r="AA5" s="458"/>
      <c r="AB5" s="473"/>
    </row>
    <row r="6" spans="1:28" s="262" customFormat="1" ht="19.899999999999999" hidden="1" customHeight="1" outlineLevel="1" x14ac:dyDescent="0.25">
      <c r="A6" s="458"/>
      <c r="B6" s="1685" t="s">
        <v>645</v>
      </c>
      <c r="C6" s="1646" t="s">
        <v>292</v>
      </c>
      <c r="D6" s="1661">
        <f>D7*D8/1000000</f>
        <v>37.172838434838411</v>
      </c>
      <c r="E6" s="463"/>
      <c r="F6" s="1681" t="s">
        <v>973</v>
      </c>
      <c r="G6" s="1633">
        <f>J7*(1-K7)</f>
        <v>109759.20000000001</v>
      </c>
      <c r="H6" s="1675">
        <f>G6/$G$11</f>
        <v>0.66654521075030615</v>
      </c>
      <c r="I6" s="458"/>
      <c r="J6" s="2319"/>
      <c r="K6" s="2317"/>
      <c r="L6" s="458"/>
      <c r="M6" s="468"/>
      <c r="N6" s="460"/>
      <c r="O6" s="2345"/>
      <c r="P6" s="458"/>
      <c r="Q6" s="2345"/>
      <c r="R6" s="458"/>
      <c r="S6" s="2345"/>
      <c r="T6" s="458"/>
      <c r="U6" s="2345"/>
      <c r="V6" s="458"/>
      <c r="W6" s="2345"/>
      <c r="X6" s="458"/>
      <c r="Y6" s="2345"/>
      <c r="Z6" s="458"/>
      <c r="AA6" s="458"/>
      <c r="AB6" s="473"/>
    </row>
    <row r="7" spans="1:28" s="262" customFormat="1" ht="19.899999999999999" hidden="1" customHeight="1" outlineLevel="1" x14ac:dyDescent="0.25">
      <c r="A7" s="458"/>
      <c r="B7" s="1681" t="s">
        <v>646</v>
      </c>
      <c r="C7" s="1644" t="s">
        <v>342</v>
      </c>
      <c r="D7" s="1662">
        <f>'R&amp;C-Painel de Controle'!H33</f>
        <v>254.60848243040007</v>
      </c>
      <c r="E7" s="463"/>
      <c r="F7" s="1681" t="s">
        <v>974</v>
      </c>
      <c r="G7" s="1633">
        <f>J7*K7</f>
        <v>27439.800000000003</v>
      </c>
      <c r="H7" s="1675">
        <f>G7/$G$11</f>
        <v>0.16663630268757654</v>
      </c>
      <c r="I7" s="458"/>
      <c r="J7" s="2348">
        <f>'R&amp;C-Painel de Controle'!D6/3</f>
        <v>137199</v>
      </c>
      <c r="K7" s="2346">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899999999999999" hidden="1" customHeight="1" outlineLevel="1" thickBot="1" x14ac:dyDescent="0.3">
      <c r="A8" s="458"/>
      <c r="B8" s="1681" t="s">
        <v>647</v>
      </c>
      <c r="C8" s="1644" t="s">
        <v>298</v>
      </c>
      <c r="D8" s="1662">
        <f>'R&amp;C-Painel de Controle'!D8</f>
        <v>146000</v>
      </c>
      <c r="E8" s="463"/>
      <c r="F8" s="1681" t="s">
        <v>975</v>
      </c>
      <c r="G8" s="1676">
        <f>J7/5</f>
        <v>27439.8</v>
      </c>
      <c r="H8" s="1675">
        <f>G8/$G$11</f>
        <v>0.16663630268757654</v>
      </c>
      <c r="I8" s="458"/>
      <c r="J8" s="2349"/>
      <c r="K8" s="2347"/>
      <c r="L8" s="458"/>
      <c r="M8" s="468"/>
      <c r="N8" s="460"/>
      <c r="O8" s="1500">
        <f>(O12-O10)/O10</f>
        <v>1.2145591636766743E-6</v>
      </c>
      <c r="P8" s="460"/>
      <c r="Q8" s="1500">
        <f>(Q12-Q10)/Q10</f>
        <v>-5.8327040398666727E-3</v>
      </c>
      <c r="R8" s="460"/>
      <c r="S8" s="1500">
        <f>(S12-S10)/S10</f>
        <v>-5.832704039866644E-3</v>
      </c>
      <c r="T8" s="458"/>
      <c r="U8" s="1500">
        <f>(U12-U10)/U10</f>
        <v>2.2914268472023346E-2</v>
      </c>
      <c r="V8" s="458"/>
      <c r="W8" s="1500">
        <f>(W12-W10)/W10</f>
        <v>2.2914268472023346E-2</v>
      </c>
      <c r="X8" s="458"/>
      <c r="Y8" s="1628" t="s">
        <v>338</v>
      </c>
      <c r="Z8" s="458"/>
      <c r="AA8" s="458"/>
      <c r="AB8" s="473"/>
    </row>
    <row r="9" spans="1:28" s="262" customFormat="1" ht="19.899999999999999" hidden="1" customHeight="1" outlineLevel="1" thickTop="1" x14ac:dyDescent="0.25">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899999999999999" hidden="1" customHeight="1" outlineLevel="1" x14ac:dyDescent="0.25">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40.407340039149787</v>
      </c>
      <c r="R10" s="460"/>
      <c r="S10" s="265">
        <f>D8</f>
        <v>146000</v>
      </c>
      <c r="T10" s="458"/>
      <c r="U10" s="265">
        <f>D10*(1+D24)</f>
        <v>22967112.600000001</v>
      </c>
      <c r="V10" s="458"/>
      <c r="W10" s="265">
        <f>D10*(1+D24)</f>
        <v>22967112.600000001</v>
      </c>
      <c r="X10" s="458"/>
      <c r="Y10" s="1499">
        <f>Y7</f>
        <v>0.05</v>
      </c>
      <c r="Z10" s="458"/>
      <c r="AA10" s="458"/>
      <c r="AB10" s="473"/>
    </row>
    <row r="11" spans="1:28" s="262" customFormat="1" ht="19.899999999999999" hidden="1" customHeight="1" outlineLevel="1" thickBot="1" x14ac:dyDescent="0.3">
      <c r="A11" s="458"/>
      <c r="B11" s="1683" t="s">
        <v>721</v>
      </c>
      <c r="C11" s="1664" t="s">
        <v>357</v>
      </c>
      <c r="D11" s="1665">
        <f>D10/D8</f>
        <v>157.30899041095893</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899999999999999" hidden="1" customHeight="1" outlineLevel="1" thickTop="1" thickBot="1" x14ac:dyDescent="0.3">
      <c r="A12" s="458"/>
      <c r="B12" s="1686" t="s">
        <v>946</v>
      </c>
      <c r="C12" s="1666" t="s">
        <v>327</v>
      </c>
      <c r="D12" s="1667">
        <f>D7/D11</f>
        <v>1.6185246740523407</v>
      </c>
      <c r="E12" s="458"/>
      <c r="F12" s="458"/>
      <c r="G12" s="458"/>
      <c r="H12" s="459"/>
      <c r="I12" s="458"/>
      <c r="J12" s="459"/>
      <c r="K12" s="459"/>
      <c r="L12" s="459"/>
      <c r="M12" s="459"/>
      <c r="N12" s="458"/>
      <c r="O12" s="265">
        <f>O33</f>
        <v>164669</v>
      </c>
      <c r="P12" s="460"/>
      <c r="Q12" s="276">
        <f>Q33</f>
        <v>40.171655983663172</v>
      </c>
      <c r="R12" s="460"/>
      <c r="S12" s="265">
        <f>S33*(1+$D$17+$D$18+$D$19)</f>
        <v>145148.42521017947</v>
      </c>
      <c r="T12" s="458"/>
      <c r="U12" s="265">
        <f>U33</f>
        <v>23493387.184143592</v>
      </c>
      <c r="V12" s="458"/>
      <c r="W12" s="265">
        <f>W33</f>
        <v>23493387.184143592</v>
      </c>
      <c r="X12" s="458"/>
      <c r="Y12" s="1497">
        <f>1-((AA39+AA41+AA42+AA43+AA44+AA45+AA52+AA54+AA55+AA56+AA57+AA58+AA65+AA67+AA68+AA69+AA70+AA71+AA78+AA80+AA81+AA82+AA83+AA84+AA91+AA93+AA94+AA95+AA96)/29)</f>
        <v>0</v>
      </c>
      <c r="Z12" s="458"/>
      <c r="AA12" s="458"/>
      <c r="AB12" s="473"/>
    </row>
    <row r="13" spans="1:28" s="262" customFormat="1" ht="10.15" hidden="1" customHeight="1" outlineLevel="1" thickTop="1" thickBot="1" x14ac:dyDescent="0.3">
      <c r="A13" s="458"/>
      <c r="B13" s="458"/>
      <c r="C13" s="459"/>
      <c r="D13" s="458"/>
      <c r="E13" s="463"/>
      <c r="F13" s="465"/>
      <c r="G13" s="465"/>
      <c r="H13" s="466"/>
      <c r="I13" s="464"/>
      <c r="J13" s="464"/>
      <c r="K13" s="468"/>
      <c r="L13" s="468"/>
      <c r="M13" s="468"/>
      <c r="N13" s="460"/>
      <c r="P13" s="460"/>
      <c r="AA13" s="458"/>
      <c r="AB13" s="473"/>
    </row>
    <row r="14" spans="1:28" s="262" customFormat="1" ht="19.899999999999999" hidden="1" customHeight="1" outlineLevel="1" thickTop="1" x14ac:dyDescent="0.25">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899999999999999" hidden="1" customHeight="1" outlineLevel="1" x14ac:dyDescent="0.25">
      <c r="A15" s="458"/>
      <c r="B15" s="1687" t="s">
        <v>649</v>
      </c>
      <c r="C15" s="1646" t="s">
        <v>195</v>
      </c>
      <c r="D15" s="1668">
        <v>1</v>
      </c>
      <c r="E15" s="458"/>
      <c r="F15" s="2338" t="s">
        <v>978</v>
      </c>
      <c r="G15" s="2340" t="s">
        <v>195</v>
      </c>
      <c r="H15" s="2342">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899999999999999" hidden="1" customHeight="1" outlineLevel="1" thickBot="1" x14ac:dyDescent="0.3">
      <c r="A16" s="458"/>
      <c r="B16" s="1688" t="s">
        <v>981</v>
      </c>
      <c r="C16" s="1644" t="s">
        <v>292</v>
      </c>
      <c r="D16" s="1669">
        <f>D10*D12*(1-D15)/1000000</f>
        <v>0</v>
      </c>
      <c r="E16" s="458"/>
      <c r="F16" s="2339"/>
      <c r="G16" s="2341"/>
      <c r="H16" s="2343"/>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899999999999999" hidden="1" customHeight="1" outlineLevel="1" thickTop="1" x14ac:dyDescent="0.25">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899999999999999" hidden="1" customHeight="1" outlineLevel="1" x14ac:dyDescent="0.25">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899999999999999" hidden="1" customHeight="1" outlineLevel="1" x14ac:dyDescent="0.25">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 hidden="1" customHeight="1" outlineLevel="1" x14ac:dyDescent="0.25">
      <c r="A20" s="458"/>
      <c r="B20" s="1687" t="s">
        <v>948</v>
      </c>
      <c r="C20" s="1646" t="s">
        <v>292</v>
      </c>
      <c r="D20" s="1673">
        <f>D10*D12*(1+D17)*(1+D18)*(1+D19)*D15/1000000</f>
        <v>40.407340039149787</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 hidden="1" customHeight="1" outlineLevel="1" thickBot="1" x14ac:dyDescent="0.3">
      <c r="A21" s="458"/>
      <c r="B21" s="1684" t="s">
        <v>947</v>
      </c>
      <c r="C21" s="1666" t="s">
        <v>327</v>
      </c>
      <c r="D21" s="1667">
        <f>D20*1000000/D10</f>
        <v>1.7593565522533199</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hidden="1" customHeight="1" outlineLevel="1" thickTop="1" thickBot="1" x14ac:dyDescent="0.3">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899999999999999" hidden="1" customHeight="1" outlineLevel="1" thickTop="1" x14ac:dyDescent="0.25">
      <c r="A23" s="458"/>
      <c r="B23" s="1509" t="s">
        <v>950</v>
      </c>
      <c r="C23" s="1510" t="s">
        <v>348</v>
      </c>
      <c r="D23" s="1511" t="s">
        <v>289</v>
      </c>
      <c r="E23" s="458"/>
      <c r="F23" s="2313" t="s">
        <v>941</v>
      </c>
      <c r="G23" s="2314"/>
      <c r="H23" s="2315"/>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899999999999999" hidden="1" customHeight="1" outlineLevel="1" x14ac:dyDescent="0.25">
      <c r="A24" s="458"/>
      <c r="B24" s="1687" t="s">
        <v>949</v>
      </c>
      <c r="C24" s="1646" t="s">
        <v>195</v>
      </c>
      <c r="D24" s="1674">
        <v>0</v>
      </c>
      <c r="E24" s="458"/>
      <c r="F24" s="1683" t="s">
        <v>979</v>
      </c>
      <c r="G24" s="1644" t="s">
        <v>358</v>
      </c>
      <c r="H24" s="1679">
        <f>D26*(D10)/G11</f>
        <v>245.38552560746047</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 hidden="1" customHeight="1" outlineLevel="1" thickBot="1" x14ac:dyDescent="0.3">
      <c r="A25" s="458"/>
      <c r="B25" s="1683" t="s">
        <v>982</v>
      </c>
      <c r="C25" s="1644" t="s">
        <v>292</v>
      </c>
      <c r="D25" s="1669">
        <f>D20</f>
        <v>40.407340039149787</v>
      </c>
      <c r="E25" s="458"/>
      <c r="F25" s="1684" t="s">
        <v>980</v>
      </c>
      <c r="G25" s="1666" t="s">
        <v>359</v>
      </c>
      <c r="H25" s="1680">
        <f>H24/12</f>
        <v>20.448793800621704</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 hidden="1" customHeight="1" outlineLevel="1" thickTop="1" thickBot="1" x14ac:dyDescent="0.3">
      <c r="A26" s="458"/>
      <c r="B26" s="1684" t="s">
        <v>983</v>
      </c>
      <c r="C26" s="1666" t="s">
        <v>327</v>
      </c>
      <c r="D26" s="1667">
        <f>(D25*1000000/(D8*D11))*(1-D24)</f>
        <v>1.7593565522533199</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15" customHeight="1" x14ac:dyDescent="0.25">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15" customHeight="1" x14ac:dyDescent="0.25">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15" customHeight="1" x14ac:dyDescent="0.25">
      <c r="A29" s="458"/>
      <c r="B29" s="2329" t="s">
        <v>964</v>
      </c>
      <c r="C29" s="2330"/>
      <c r="D29" s="2330"/>
      <c r="E29" s="2331"/>
      <c r="F29" s="458"/>
      <c r="G29" s="458"/>
      <c r="H29" s="459"/>
      <c r="I29" s="458"/>
      <c r="J29" s="459"/>
      <c r="K29" s="2326" t="s">
        <v>360</v>
      </c>
      <c r="L29" s="2327"/>
      <c r="M29" s="2328"/>
      <c r="N29" s="458"/>
      <c r="O29" s="2332" t="s">
        <v>763</v>
      </c>
      <c r="P29" s="2333"/>
      <c r="Q29" s="2333"/>
      <c r="R29" s="2333"/>
      <c r="S29" s="2333"/>
      <c r="T29" s="2333"/>
      <c r="U29" s="2333"/>
      <c r="V29" s="2333"/>
      <c r="W29" s="2333"/>
      <c r="X29" s="2333"/>
      <c r="Y29" s="2333"/>
      <c r="Z29" s="2333"/>
      <c r="AA29" s="458"/>
      <c r="AB29" s="473"/>
    </row>
    <row r="30" spans="1:28" s="262" customFormat="1" ht="4.9000000000000004" customHeight="1" x14ac:dyDescent="0.25">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899999999999999" customHeight="1" x14ac:dyDescent="0.25">
      <c r="A31" s="458"/>
      <c r="B31" s="2322" t="s">
        <v>965</v>
      </c>
      <c r="C31" s="2323"/>
      <c r="D31" s="2323"/>
      <c r="E31" s="2323"/>
      <c r="F31" s="2323"/>
      <c r="G31" s="2323"/>
      <c r="H31" s="2323"/>
      <c r="I31" s="2323"/>
      <c r="J31" s="2323"/>
      <c r="K31" s="2323"/>
      <c r="L31" s="1634" t="s">
        <v>361</v>
      </c>
      <c r="M31" s="1634" t="s">
        <v>362</v>
      </c>
      <c r="N31" s="458"/>
      <c r="O31" s="2283" t="s">
        <v>650</v>
      </c>
      <c r="P31" s="458"/>
      <c r="Q31" s="2283" t="s">
        <v>363</v>
      </c>
      <c r="R31" s="458"/>
      <c r="S31" s="2283" t="s">
        <v>651</v>
      </c>
      <c r="T31" s="458"/>
      <c r="U31" s="2283" t="s">
        <v>652</v>
      </c>
      <c r="V31" s="458"/>
      <c r="W31" s="2283" t="s">
        <v>652</v>
      </c>
      <c r="X31" s="458"/>
      <c r="Y31" s="2283" t="s">
        <v>463</v>
      </c>
      <c r="Z31" s="458"/>
      <c r="AA31" s="458"/>
      <c r="AB31" s="473"/>
    </row>
    <row r="32" spans="1:28" s="262" customFormat="1" ht="19.899999999999999" customHeight="1" x14ac:dyDescent="0.25">
      <c r="A32" s="458"/>
      <c r="B32" s="2324"/>
      <c r="C32" s="2323"/>
      <c r="D32" s="2323"/>
      <c r="E32" s="2323"/>
      <c r="F32" s="2323"/>
      <c r="G32" s="2323"/>
      <c r="H32" s="2323"/>
      <c r="I32" s="2323"/>
      <c r="J32" s="2323"/>
      <c r="K32" s="2323"/>
      <c r="L32" s="1635">
        <f>H24</f>
        <v>245.38552560746047</v>
      </c>
      <c r="M32" s="1636">
        <f>H25</f>
        <v>20.448793800621704</v>
      </c>
      <c r="N32" s="461"/>
      <c r="O32" s="2187"/>
      <c r="P32" s="461"/>
      <c r="Q32" s="2187"/>
      <c r="R32" s="461"/>
      <c r="S32" s="2187"/>
      <c r="T32" s="458"/>
      <c r="U32" s="2187"/>
      <c r="V32" s="458"/>
      <c r="W32" s="2187"/>
      <c r="X32" s="458"/>
      <c r="Y32" s="2325"/>
      <c r="Z32" s="458"/>
      <c r="AA32" s="458"/>
      <c r="AB32" s="473"/>
    </row>
    <row r="33" spans="1:28" s="262" customFormat="1" ht="15" customHeight="1" collapsed="1" x14ac:dyDescent="0.25">
      <c r="A33" s="458"/>
      <c r="B33" s="458"/>
      <c r="C33" s="459"/>
      <c r="D33" s="458"/>
      <c r="E33" s="458"/>
      <c r="F33" s="458"/>
      <c r="G33" s="458"/>
      <c r="H33" s="459"/>
      <c r="I33" s="458"/>
      <c r="J33" s="459"/>
      <c r="K33" s="459"/>
      <c r="L33" s="459"/>
      <c r="M33" s="459"/>
      <c r="N33" s="458"/>
      <c r="O33" s="265">
        <f>O36+O49+O62+O75+O88</f>
        <v>164669</v>
      </c>
      <c r="P33" s="458"/>
      <c r="Q33" s="265">
        <f>(Q36+Q49+Q62+Q75+Q88)*12/1000000</f>
        <v>40.171655983663172</v>
      </c>
      <c r="R33" s="458"/>
      <c r="S33" s="265">
        <f>12*S34</f>
        <v>133777.35042412856</v>
      </c>
      <c r="T33" s="458" t="s">
        <v>364</v>
      </c>
      <c r="U33" s="265">
        <f>12*U34</f>
        <v>23493387.184143592</v>
      </c>
      <c r="V33" s="458" t="s">
        <v>365</v>
      </c>
      <c r="W33" s="265">
        <f>12*W34</f>
        <v>23493387.184143592</v>
      </c>
      <c r="X33" s="458" t="s">
        <v>365</v>
      </c>
      <c r="Y33" s="2334">
        <v>0.1</v>
      </c>
      <c r="Z33" s="458"/>
      <c r="AA33" s="458"/>
      <c r="AB33" s="473"/>
    </row>
    <row r="34" spans="1:28" s="262" customFormat="1" ht="34.9" hidden="1" customHeight="1" outlineLevel="1" x14ac:dyDescent="0.25">
      <c r="A34" s="458"/>
      <c r="B34" s="2293" t="s">
        <v>366</v>
      </c>
      <c r="C34" s="2294"/>
      <c r="D34" s="2294"/>
      <c r="E34" s="2294"/>
      <c r="F34" s="2294"/>
      <c r="G34" s="2294"/>
      <c r="H34" s="2294"/>
      <c r="I34" s="2294"/>
      <c r="J34" s="2294"/>
      <c r="K34" s="2294"/>
      <c r="L34" s="2294"/>
      <c r="M34" s="2294"/>
      <c r="N34" s="461"/>
      <c r="O34" s="883"/>
      <c r="P34" s="461"/>
      <c r="Q34" s="883"/>
      <c r="R34" s="461"/>
      <c r="S34" s="265">
        <f>S36+S49+S62+S75+S88</f>
        <v>11148.112535344046</v>
      </c>
      <c r="T34" s="458" t="s">
        <v>367</v>
      </c>
      <c r="U34" s="265">
        <f>U36+U49+U62+U75+U88</f>
        <v>1957782.2653452994</v>
      </c>
      <c r="V34" s="458" t="s">
        <v>368</v>
      </c>
      <c r="W34" s="265">
        <f>W36+W49+W62+W75+W88</f>
        <v>1957782.2653452994</v>
      </c>
      <c r="X34" s="458" t="s">
        <v>368</v>
      </c>
      <c r="Y34" s="2335"/>
      <c r="Z34" s="458"/>
      <c r="AA34" s="458"/>
      <c r="AB34" s="473"/>
    </row>
    <row r="35" spans="1:28" s="262" customFormat="1" ht="25.15" hidden="1" customHeight="1" outlineLevel="1" x14ac:dyDescent="0.25">
      <c r="A35" s="458"/>
      <c r="B35" s="2295" t="s">
        <v>369</v>
      </c>
      <c r="C35" s="2287"/>
      <c r="D35" s="2287"/>
      <c r="E35" s="2296"/>
      <c r="F35" s="2287"/>
      <c r="G35" s="2287"/>
      <c r="H35" s="2287"/>
      <c r="I35" s="2296"/>
      <c r="J35" s="2287"/>
      <c r="K35" s="2287"/>
      <c r="L35" s="2287"/>
      <c r="M35" s="2287"/>
      <c r="N35" s="461"/>
      <c r="O35" s="885">
        <f>G9</f>
        <v>25</v>
      </c>
      <c r="P35" s="884"/>
      <c r="Q35" s="888"/>
      <c r="R35" s="461"/>
      <c r="S35" s="883"/>
      <c r="T35" s="458"/>
      <c r="U35" s="892"/>
      <c r="V35" s="458"/>
      <c r="W35" s="892"/>
      <c r="X35" s="458"/>
      <c r="Y35" s="283"/>
      <c r="Z35" s="458"/>
      <c r="AA35" s="458"/>
      <c r="AB35" s="473"/>
    </row>
    <row r="36" spans="1:28" s="262" customFormat="1" ht="36" hidden="1" customHeight="1" outlineLevel="1" x14ac:dyDescent="0.25">
      <c r="A36" s="458"/>
      <c r="B36" s="2295" t="s">
        <v>370</v>
      </c>
      <c r="C36" s="2295" t="s">
        <v>371</v>
      </c>
      <c r="D36" s="2298"/>
      <c r="E36" s="1515"/>
      <c r="F36" s="2286" t="s">
        <v>372</v>
      </c>
      <c r="G36" s="2287"/>
      <c r="H36" s="2288"/>
      <c r="I36" s="881"/>
      <c r="J36" s="2284" t="s">
        <v>970</v>
      </c>
      <c r="K36" s="2285"/>
      <c r="L36" s="2285"/>
      <c r="M36" s="2285"/>
      <c r="N36" s="458"/>
      <c r="O36" s="265">
        <f>O39+O41+O42+O43+O44+O45</f>
        <v>25</v>
      </c>
      <c r="P36" s="467"/>
      <c r="Q36" s="889">
        <f>Q39+Q41+Q42+Q43+Q44+Q45</f>
        <v>477.35153028326295</v>
      </c>
      <c r="R36" s="458"/>
      <c r="S36" s="2281">
        <f>IF(AND(Q36&lt;&gt;0,O36&lt;&gt;0),Q36/(1+$D$17+$D$18+$D$19)/(($D$25*1000000/$D$8)),0)</f>
        <v>1.5896487555346961</v>
      </c>
      <c r="T36" s="2320" t="s">
        <v>373</v>
      </c>
      <c r="U36" s="2281">
        <f>U39+U41+U42+U43+U44+U45</f>
        <v>250.06604084120031</v>
      </c>
      <c r="V36" s="467" t="s">
        <v>374</v>
      </c>
      <c r="W36" s="2281">
        <f>W39*O39+W41*O41+W42*O42+W43*O43+W44*O44+W45*O45</f>
        <v>250.06604084120031</v>
      </c>
      <c r="X36" s="467" t="s">
        <v>374</v>
      </c>
      <c r="Y36" s="865" t="s">
        <v>375</v>
      </c>
      <c r="Z36" s="458"/>
      <c r="AA36" s="458"/>
      <c r="AB36" s="473"/>
    </row>
    <row r="37" spans="1:28" s="262" customFormat="1" ht="24" hidden="1" customHeight="1" outlineLevel="1" x14ac:dyDescent="0.25">
      <c r="A37" s="458"/>
      <c r="B37" s="2297"/>
      <c r="C37" s="1637" t="s">
        <v>376</v>
      </c>
      <c r="D37" s="1638" t="s">
        <v>377</v>
      </c>
      <c r="E37" s="1516"/>
      <c r="F37" s="2289"/>
      <c r="G37" s="2287"/>
      <c r="H37" s="2288"/>
      <c r="I37" s="882"/>
      <c r="J37" s="2290" t="s">
        <v>378</v>
      </c>
      <c r="K37" s="2291"/>
      <c r="L37" s="2292" t="s">
        <v>379</v>
      </c>
      <c r="M37" s="2291"/>
      <c r="N37" s="458"/>
      <c r="O37" s="886" t="s">
        <v>380</v>
      </c>
      <c r="P37" s="467"/>
      <c r="Q37" s="890">
        <v>0.5</v>
      </c>
      <c r="R37" s="458"/>
      <c r="S37" s="2302"/>
      <c r="T37" s="2321"/>
      <c r="U37" s="2302"/>
      <c r="V37" s="467"/>
      <c r="W37" s="2282"/>
      <c r="X37" s="467"/>
      <c r="Y37" s="893">
        <f>$Y$33</f>
        <v>0.1</v>
      </c>
      <c r="Z37" s="458"/>
      <c r="AA37" s="458"/>
      <c r="AB37" s="473"/>
    </row>
    <row r="38" spans="1:28" s="262" customFormat="1" ht="24" hidden="1" customHeight="1" outlineLevel="1" x14ac:dyDescent="0.25">
      <c r="A38" s="458"/>
      <c r="B38" s="2306">
        <v>1</v>
      </c>
      <c r="C38" s="2306">
        <v>1</v>
      </c>
      <c r="D38" s="2309">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hidden="1" customHeight="1" outlineLevel="1" x14ac:dyDescent="0.25">
      <c r="A39" s="458"/>
      <c r="B39" s="2307"/>
      <c r="C39" s="2308"/>
      <c r="D39" s="2310"/>
      <c r="E39" s="882"/>
      <c r="F39" s="1694" t="s">
        <v>338</v>
      </c>
      <c r="G39" s="1695">
        <v>5</v>
      </c>
      <c r="H39" s="1696">
        <v>0.35</v>
      </c>
      <c r="I39" s="1516"/>
      <c r="J39" s="1697">
        <f>$L$32*H39*$B$38*$C$38</f>
        <v>85.884933962611157</v>
      </c>
      <c r="K39" s="1698">
        <f>$M$32*H39*$B$38*$C$38</f>
        <v>7.1570778302175961</v>
      </c>
      <c r="L39" s="1697">
        <f>J39*$D$38</f>
        <v>107.35616745326395</v>
      </c>
      <c r="M39" s="1698">
        <f>K39*$D$38</f>
        <v>8.9463472877719958</v>
      </c>
      <c r="N39" s="458"/>
      <c r="O39" s="887">
        <v>5</v>
      </c>
      <c r="P39" s="467"/>
      <c r="Q39" s="286">
        <f>O39*$Q$37*M39+O39*(1-$Q$37)*K39</f>
        <v>40.258562794973983</v>
      </c>
      <c r="R39" s="458"/>
      <c r="S39" s="891">
        <f>IF(AND(Q39&lt;&gt;0,O39&lt;&gt;0),Q39/(1+$D$17+$D$18+$D$19)/O39/30/(($D$25*1000000/$D$8))*1000,0)</f>
        <v>0.89377841676649572</v>
      </c>
      <c r="T39" s="467" t="s">
        <v>382</v>
      </c>
      <c r="U39" s="870">
        <f>S39*O39*30*$D$11*(1+$D$24)/1000</f>
        <v>21.089907058896408</v>
      </c>
      <c r="V39" s="467" t="s">
        <v>383</v>
      </c>
      <c r="W39" s="870">
        <f>IF(O39&lt;&gt;0,U39/O39,0)</f>
        <v>4.2179814117792818</v>
      </c>
      <c r="X39" s="467" t="s">
        <v>384</v>
      </c>
      <c r="Y39" s="287" t="str">
        <f>IF(O39=0,"-", IF(W39&lt;=(G39*(1+$Y$37)),"OK", "NOK"))</f>
        <v>OK</v>
      </c>
      <c r="Z39" s="897"/>
      <c r="AA39" s="898">
        <f>IF(OR(Y39="OK",Y39="-"),1,0)</f>
        <v>1</v>
      </c>
      <c r="AB39" s="473"/>
    </row>
    <row r="40" spans="1:28" s="262" customFormat="1" ht="24" hidden="1" customHeight="1" outlineLevel="1" x14ac:dyDescent="0.25">
      <c r="A40" s="458"/>
      <c r="B40" s="2307"/>
      <c r="C40" s="2308"/>
      <c r="D40" s="2310"/>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hidden="1" customHeight="1" outlineLevel="1" x14ac:dyDescent="0.25">
      <c r="A41" s="458"/>
      <c r="B41" s="2307"/>
      <c r="C41" s="2308"/>
      <c r="D41" s="2310"/>
      <c r="E41" s="882"/>
      <c r="F41" s="1694">
        <f>G39</f>
        <v>5</v>
      </c>
      <c r="G41" s="1695">
        <v>15</v>
      </c>
      <c r="H41" s="1696">
        <v>0.06</v>
      </c>
      <c r="I41" s="1516"/>
      <c r="J41" s="1697">
        <f>$L$32*(H39+(G41-F41)*H41)*$B$38*$C$38</f>
        <v>233.11624932708744</v>
      </c>
      <c r="K41" s="1698">
        <f>$M$32*(H39+(G41-F41)*H41)*$B$38*$C$38</f>
        <v>19.426354110590619</v>
      </c>
      <c r="L41" s="1697">
        <f t="shared" ref="L41:M45" si="0">J41*$D$38</f>
        <v>291.39531165885933</v>
      </c>
      <c r="M41" s="1698">
        <f t="shared" si="0"/>
        <v>24.282942638238275</v>
      </c>
      <c r="N41" s="458"/>
      <c r="O41" s="887">
        <v>20</v>
      </c>
      <c r="P41" s="467"/>
      <c r="Q41" s="286">
        <f>O41*$Q$37*M41+O41*(1-$Q$37)*K41</f>
        <v>437.09296748828893</v>
      </c>
      <c r="R41" s="458"/>
      <c r="S41" s="891">
        <f>IF(AND(Q41&lt;&gt;0,O41&lt;&gt;0),Q41/(1+$D$17+$D$18+$D$19)/O41/30/(($D$25*1000000/$D$8))*1000,0)</f>
        <v>2.4259699883662029</v>
      </c>
      <c r="T41" s="467" t="s">
        <v>382</v>
      </c>
      <c r="U41" s="870">
        <f>S41*O41*30*$D$11*(1+$D$24)/1000</f>
        <v>228.97613378230389</v>
      </c>
      <c r="V41" s="467" t="s">
        <v>383</v>
      </c>
      <c r="W41" s="870">
        <f>IF(O41&lt;&gt;0,U41/O41,0)</f>
        <v>11.448806689115195</v>
      </c>
      <c r="X41" s="467" t="s">
        <v>384</v>
      </c>
      <c r="Y41" s="265" t="str">
        <f>IF(O41=0,"-",IF(AND(((F41*(1-$Y$37))&lt;W41),(W41&lt;(G41*(1+$Y$37)))),"OK", "NOK"))</f>
        <v>OK</v>
      </c>
      <c r="Z41" s="897"/>
      <c r="AA41" s="898">
        <f>IF(OR(Y41="OK",Y41="-"),1,0)</f>
        <v>1</v>
      </c>
      <c r="AB41" s="473"/>
    </row>
    <row r="42" spans="1:28" s="262" customFormat="1" ht="24" hidden="1" customHeight="1" outlineLevel="1" x14ac:dyDescent="0.25">
      <c r="A42" s="458"/>
      <c r="B42" s="2307"/>
      <c r="C42" s="2308"/>
      <c r="D42" s="2310"/>
      <c r="E42" s="882"/>
      <c r="F42" s="1694">
        <f>G41</f>
        <v>15</v>
      </c>
      <c r="G42" s="1695">
        <v>25</v>
      </c>
      <c r="H42" s="1696">
        <v>0.05</v>
      </c>
      <c r="I42" s="1516"/>
      <c r="J42" s="1697">
        <f>$L$32*(H39+(G41-F41)*H41+(G42-F42)*H42)*$B$38*$C$38</f>
        <v>355.80901213081768</v>
      </c>
      <c r="K42" s="1698">
        <f>$M$32*(H39+(G41-F41)*H41+(G42-F42)*H42)*$B$38*$C$38</f>
        <v>29.65075101090147</v>
      </c>
      <c r="L42" s="1697">
        <f t="shared" si="0"/>
        <v>444.76126516352213</v>
      </c>
      <c r="M42" s="1698">
        <f t="shared" si="0"/>
        <v>37.063438763626834</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hidden="1" customHeight="1" outlineLevel="1" x14ac:dyDescent="0.25">
      <c r="A43" s="458"/>
      <c r="B43" s="2307"/>
      <c r="C43" s="2308"/>
      <c r="D43" s="2310"/>
      <c r="E43" s="882"/>
      <c r="F43" s="1694">
        <f>G42</f>
        <v>25</v>
      </c>
      <c r="G43" s="1695">
        <v>35</v>
      </c>
      <c r="H43" s="1696">
        <v>3.5000000000000003E-2</v>
      </c>
      <c r="I43" s="1516"/>
      <c r="J43" s="1697">
        <f>$L$32*(H39+(G41-F41)*H41+(G42-F42)*H42+(G43-F43)*H43)*$B$38*$C$38</f>
        <v>441.69394609342885</v>
      </c>
      <c r="K43" s="1698">
        <f>$M$32*(H39+(G41-F41)*H41+(G42-F42)*H42+(G43-F43)*H43)*$B$38*$C$38</f>
        <v>36.807828841119068</v>
      </c>
      <c r="L43" s="1697">
        <f t="shared" si="0"/>
        <v>552.11743261678612</v>
      </c>
      <c r="M43" s="1698">
        <f t="shared" si="0"/>
        <v>46.009786051398834</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hidden="1" customHeight="1" outlineLevel="1" x14ac:dyDescent="0.25">
      <c r="A44" s="458"/>
      <c r="B44" s="2307"/>
      <c r="C44" s="2308"/>
      <c r="D44" s="2310"/>
      <c r="E44" s="882"/>
      <c r="F44" s="1694">
        <f>G43</f>
        <v>35</v>
      </c>
      <c r="G44" s="1695">
        <v>50</v>
      </c>
      <c r="H44" s="1696">
        <f>0.03</f>
        <v>0.03</v>
      </c>
      <c r="I44" s="1516"/>
      <c r="J44" s="1697">
        <f>$L$32*(H39+(G41-F41)*H41+(G42-F42)*H42+(G43-F43)*H43+(G44-F44)*H44)*$B$38*$C$38</f>
        <v>552.117432616786</v>
      </c>
      <c r="K44" s="1698">
        <f>$M$32*(H39+(G41-F41)*H41+(G42-F42)*H42+(G43-F43)*H43+(G44-F44)*H44)*$B$38*$C$38</f>
        <v>46.009786051398834</v>
      </c>
      <c r="L44" s="1697">
        <f t="shared" si="0"/>
        <v>690.14679077098253</v>
      </c>
      <c r="M44" s="1698">
        <f t="shared" si="0"/>
        <v>57.512232564248542</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hidden="1" customHeight="1" outlineLevel="1" x14ac:dyDescent="0.25">
      <c r="A45" s="458"/>
      <c r="B45" s="2307"/>
      <c r="C45" s="2308"/>
      <c r="D45" s="2310"/>
      <c r="E45" s="882"/>
      <c r="F45" s="1694">
        <f>G44</f>
        <v>50</v>
      </c>
      <c r="G45" s="1695">
        <v>100</v>
      </c>
      <c r="H45" s="1696">
        <v>2.5000000000000001E-2</v>
      </c>
      <c r="I45" s="1516"/>
      <c r="J45" s="1697">
        <f>$L$32*(H39+(G41-F41)*H41+(G42-F42)*H42+(G43-F43)*H43+(G44-F44)*H44+(G45-F45)*H45)*$B$38*$C$38</f>
        <v>858.8493396261116</v>
      </c>
      <c r="K45" s="1698">
        <f>$M$32*(H39+(G41-F41)*H41+(G42-F42)*H42+(G43-F43)*H43+(G44-F44)*H44+(G45-F45)*H45)*$B$38*$C$38</f>
        <v>71.570778302175967</v>
      </c>
      <c r="L45" s="1697">
        <f t="shared" si="0"/>
        <v>1073.5616745326395</v>
      </c>
      <c r="M45" s="1698">
        <f t="shared" si="0"/>
        <v>89.463472877719965</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5" hidden="1" customHeight="1" outlineLevel="1" x14ac:dyDescent="0.25">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 hidden="1" customHeight="1" outlineLevel="1" x14ac:dyDescent="0.25">
      <c r="A47" s="458"/>
      <c r="B47" s="2293" t="s">
        <v>385</v>
      </c>
      <c r="C47" s="2294"/>
      <c r="D47" s="2294"/>
      <c r="E47" s="2294"/>
      <c r="F47" s="2294"/>
      <c r="G47" s="2294"/>
      <c r="H47" s="2294"/>
      <c r="I47" s="2294"/>
      <c r="J47" s="2294"/>
      <c r="K47" s="2294"/>
      <c r="L47" s="2294"/>
      <c r="M47" s="2294"/>
      <c r="N47" s="461"/>
      <c r="O47" s="458"/>
      <c r="P47" s="461"/>
      <c r="Q47" s="458"/>
      <c r="R47" s="461"/>
      <c r="S47" s="458"/>
      <c r="T47" s="458"/>
      <c r="U47" s="458"/>
      <c r="V47" s="458"/>
      <c r="W47" s="459"/>
      <c r="X47" s="458"/>
      <c r="Y47" s="459"/>
      <c r="Z47" s="458"/>
      <c r="AA47" s="458"/>
      <c r="AB47" s="473"/>
    </row>
    <row r="48" spans="1:28" s="1656" customFormat="1" ht="25.15" hidden="1" customHeight="1" outlineLevel="1" x14ac:dyDescent="0.45">
      <c r="A48" s="1649"/>
      <c r="B48" s="2295" t="s">
        <v>369</v>
      </c>
      <c r="C48" s="2287"/>
      <c r="D48" s="2287"/>
      <c r="E48" s="2296"/>
      <c r="F48" s="2287"/>
      <c r="G48" s="2287"/>
      <c r="H48" s="2287"/>
      <c r="I48" s="2296"/>
      <c r="J48" s="2287"/>
      <c r="K48" s="2287"/>
      <c r="L48" s="2287"/>
      <c r="M48" s="2287"/>
      <c r="N48" s="1650"/>
      <c r="O48" s="1651">
        <f>G6</f>
        <v>109759.20000000001</v>
      </c>
      <c r="P48" s="1652"/>
      <c r="Q48" s="1653"/>
      <c r="R48" s="1650"/>
      <c r="S48" s="1653"/>
      <c r="T48" s="1649"/>
      <c r="U48" s="1649"/>
      <c r="V48" s="1649"/>
      <c r="W48" s="1654"/>
      <c r="X48" s="1649"/>
      <c r="Y48" s="1654"/>
      <c r="Z48" s="1649"/>
      <c r="AA48" s="1649"/>
      <c r="AB48" s="1655"/>
    </row>
    <row r="49" spans="1:28" s="262" customFormat="1" ht="43.9" hidden="1" customHeight="1" outlineLevel="1" x14ac:dyDescent="0.25">
      <c r="A49" s="458"/>
      <c r="B49" s="2295" t="s">
        <v>370</v>
      </c>
      <c r="C49" s="2295" t="s">
        <v>371</v>
      </c>
      <c r="D49" s="2298"/>
      <c r="E49" s="1515"/>
      <c r="F49" s="2286" t="s">
        <v>372</v>
      </c>
      <c r="G49" s="2287"/>
      <c r="H49" s="2288"/>
      <c r="I49" s="881"/>
      <c r="J49" s="2284" t="s">
        <v>970</v>
      </c>
      <c r="K49" s="2285"/>
      <c r="L49" s="2285"/>
      <c r="M49" s="2285"/>
      <c r="N49" s="458"/>
      <c r="O49" s="265">
        <f>O52+O54+O55+O56+O57+O58</f>
        <v>109759</v>
      </c>
      <c r="P49" s="467"/>
      <c r="Q49" s="895">
        <f>Q52+Q54+Q55+Q56+Q57+Q58</f>
        <v>1840428.8250071201</v>
      </c>
      <c r="R49" s="458"/>
      <c r="S49" s="2301">
        <f>IF(AND(Q49&lt;&gt;0,O49&lt;&gt;0),Q49/(1+$D$17+$D$18+$D$19)/(($D$25*1000000/$D$8)),0)</f>
        <v>6128.89077696402</v>
      </c>
      <c r="T49" s="2320" t="s">
        <v>373</v>
      </c>
      <c r="U49" s="2281">
        <f>U52+U54+U55+U56+U57+U58</f>
        <v>964129.62046324764</v>
      </c>
      <c r="V49" s="467" t="s">
        <v>374</v>
      </c>
      <c r="W49" s="2299">
        <f>W52*O52+W54*O54+W55*O55+W56*O56+W57*O57+W58*O58</f>
        <v>964129.62046324764</v>
      </c>
      <c r="X49" s="467" t="s">
        <v>374</v>
      </c>
      <c r="Y49" s="865" t="s">
        <v>375</v>
      </c>
      <c r="Z49" s="458"/>
      <c r="AA49" s="458"/>
      <c r="AB49" s="473"/>
    </row>
    <row r="50" spans="1:28" s="262" customFormat="1" ht="24" hidden="1" customHeight="1" outlineLevel="1" x14ac:dyDescent="0.25">
      <c r="A50" s="458"/>
      <c r="B50" s="2297"/>
      <c r="C50" s="1637" t="s">
        <v>376</v>
      </c>
      <c r="D50" s="1638" t="s">
        <v>377</v>
      </c>
      <c r="E50" s="1516"/>
      <c r="F50" s="2289"/>
      <c r="G50" s="2287"/>
      <c r="H50" s="2288"/>
      <c r="I50" s="882"/>
      <c r="J50" s="2290" t="s">
        <v>378</v>
      </c>
      <c r="K50" s="2291"/>
      <c r="L50" s="2292" t="s">
        <v>379</v>
      </c>
      <c r="M50" s="2291"/>
      <c r="N50" s="458"/>
      <c r="O50" s="894" t="s">
        <v>380</v>
      </c>
      <c r="P50" s="467"/>
      <c r="Q50" s="890">
        <v>0.5</v>
      </c>
      <c r="R50" s="458"/>
      <c r="S50" s="2302"/>
      <c r="T50" s="2321"/>
      <c r="U50" s="2302"/>
      <c r="V50" s="467"/>
      <c r="W50" s="2300"/>
      <c r="X50" s="467"/>
      <c r="Y50" s="893">
        <f>$Y$33</f>
        <v>0.1</v>
      </c>
      <c r="Z50" s="458"/>
      <c r="AA50" s="458"/>
      <c r="AB50" s="473"/>
    </row>
    <row r="51" spans="1:28" s="262" customFormat="1" ht="24" hidden="1" customHeight="1" outlineLevel="1" x14ac:dyDescent="0.25">
      <c r="A51" s="458"/>
      <c r="B51" s="2306">
        <v>1</v>
      </c>
      <c r="C51" s="2306">
        <v>1</v>
      </c>
      <c r="D51" s="2309">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hidden="1" customHeight="1" outlineLevel="1" x14ac:dyDescent="0.25">
      <c r="A52" s="458"/>
      <c r="B52" s="2307"/>
      <c r="C52" s="2308"/>
      <c r="D52" s="2310"/>
      <c r="E52" s="882"/>
      <c r="F52" s="1694" t="s">
        <v>338</v>
      </c>
      <c r="G52" s="1695">
        <v>5</v>
      </c>
      <c r="H52" s="1696">
        <f>0.35-0.05</f>
        <v>0.3</v>
      </c>
      <c r="I52" s="1516"/>
      <c r="J52" s="1697">
        <f>$L$32*H52*$B$51*$C$51</f>
        <v>73.615657682238137</v>
      </c>
      <c r="K52" s="1698">
        <f>$M$32*H52*$B$51*$C$51</f>
        <v>6.1346381401865111</v>
      </c>
      <c r="L52" s="1697">
        <f>J52*$D$51</f>
        <v>92.019572102797667</v>
      </c>
      <c r="M52" s="1698">
        <f>K52*$D$51</f>
        <v>7.6682976752331387</v>
      </c>
      <c r="N52" s="458"/>
      <c r="O52" s="887">
        <v>76400</v>
      </c>
      <c r="P52" s="467"/>
      <c r="Q52" s="286">
        <f>O52*$Q$50*M52+O52*(1-$Q$50)*K52</f>
        <v>527272.14814903063</v>
      </c>
      <c r="R52" s="458"/>
      <c r="S52" s="891">
        <f>IF(AND(Q52&lt;&gt;0,O52&lt;&gt;0),Q52/(1+$D$17+$D$18+$D$19)/O52/30/(($D$25*1000000/$D$8))*1000,0)</f>
        <v>0.76609578579985338</v>
      </c>
      <c r="T52" s="467" t="s">
        <v>382</v>
      </c>
      <c r="U52" s="870">
        <f>S52*O52*30*$D$11*(1+$D$24)/1000</f>
        <v>276217.52559423179</v>
      </c>
      <c r="V52" s="467" t="s">
        <v>383</v>
      </c>
      <c r="W52" s="870">
        <f>IF(O52&lt;&gt;0,U52/O52,0)</f>
        <v>3.6154126386679555</v>
      </c>
      <c r="X52" s="467" t="s">
        <v>384</v>
      </c>
      <c r="Y52" s="287" t="str">
        <f>IF(O52=0,"-", IF(W52&lt;=(G52*(1+$Y$50)),"OK", "NOK"))</f>
        <v>OK</v>
      </c>
      <c r="Z52" s="151"/>
      <c r="AA52" s="249">
        <f>IF(OR(Y52="OK",Y52="-"),1,0)</f>
        <v>1</v>
      </c>
      <c r="AB52" s="473"/>
    </row>
    <row r="53" spans="1:28" s="262" customFormat="1" ht="24" hidden="1" customHeight="1" outlineLevel="1" x14ac:dyDescent="0.25">
      <c r="A53" s="458"/>
      <c r="B53" s="2307"/>
      <c r="C53" s="2308"/>
      <c r="D53" s="2310"/>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hidden="1" customHeight="1" outlineLevel="1" x14ac:dyDescent="0.25">
      <c r="A54" s="458"/>
      <c r="B54" s="2307"/>
      <c r="C54" s="2308"/>
      <c r="D54" s="2310"/>
      <c r="E54" s="882"/>
      <c r="F54" s="1694">
        <f>G52</f>
        <v>5</v>
      </c>
      <c r="G54" s="1695">
        <v>15</v>
      </c>
      <c r="H54" s="1696">
        <f>0.08</f>
        <v>0.08</v>
      </c>
      <c r="I54" s="1516"/>
      <c r="J54" s="1697">
        <f>$L$32*(H52+(G54-F54)*H54)*$B$51*$C$51</f>
        <v>269.92407816820651</v>
      </c>
      <c r="K54" s="1698">
        <f>$M$32*(H52+(G54-F54)*H54)*$B$51*$C$51</f>
        <v>22.493673180683878</v>
      </c>
      <c r="L54" s="1697">
        <f t="shared" ref="L54:M58" si="1">J54*$D$51</f>
        <v>337.40509771025813</v>
      </c>
      <c r="M54" s="1698">
        <f t="shared" si="1"/>
        <v>28.117091475854849</v>
      </c>
      <c r="N54" s="458"/>
      <c r="O54" s="887">
        <v>16500</v>
      </c>
      <c r="P54" s="467"/>
      <c r="Q54" s="286">
        <f>O54*$Q$50*M54+O54*(1-$Q$50)*K54</f>
        <v>417538.80841644452</v>
      </c>
      <c r="R54" s="458"/>
      <c r="S54" s="891">
        <f>IF(AND(Q54&lt;&gt;0,O54&lt;&gt;0),Q54/(1+$D$17+$D$18+$D$19)/O54/30/(($D$25*1000000/$D$8))*1000,0)</f>
        <v>2.8090178812661297</v>
      </c>
      <c r="T54" s="467" t="s">
        <v>382</v>
      </c>
      <c r="U54" s="870">
        <f>S54*O54*30*$D$11*(1+$D$24)/1000</f>
        <v>218732.46463941137</v>
      </c>
      <c r="V54" s="467" t="s">
        <v>383</v>
      </c>
      <c r="W54" s="900">
        <f>IF(O54&lt;&gt;0,U54/O54,0)</f>
        <v>13.256513008449174</v>
      </c>
      <c r="X54" s="467" t="s">
        <v>384</v>
      </c>
      <c r="Y54" s="287" t="str">
        <f>IF(O54=0,"-",IF(AND(((F54*(1-$Y$50))&lt;W54),(W54&lt;(G54*(1+$Y$50)))),"OK", "NOK"))</f>
        <v>OK</v>
      </c>
      <c r="Z54" s="151"/>
      <c r="AA54" s="249">
        <f>IF(OR(Y54="OK",Y54="-"),1,0)</f>
        <v>1</v>
      </c>
      <c r="AB54" s="473"/>
    </row>
    <row r="55" spans="1:28" s="262" customFormat="1" ht="24" hidden="1" customHeight="1" outlineLevel="1" x14ac:dyDescent="0.25">
      <c r="A55" s="458"/>
      <c r="B55" s="2307"/>
      <c r="C55" s="2308"/>
      <c r="D55" s="2310"/>
      <c r="E55" s="882"/>
      <c r="F55" s="1694">
        <f>G54</f>
        <v>15</v>
      </c>
      <c r="G55" s="1695">
        <v>25</v>
      </c>
      <c r="H55" s="1696">
        <f>0.0725</f>
        <v>7.2499999999999995E-2</v>
      </c>
      <c r="I55" s="1516"/>
      <c r="J55" s="1697">
        <f>$L$32*(H52+(G54-F54)*H54+(G55-F55)*H55)*$B$51*$C$51</f>
        <v>447.8285842336154</v>
      </c>
      <c r="K55" s="1698">
        <f>$M$32*(H52+(G54-F54)*H54+(G55-F55)*H55)*$B$51*$C$51</f>
        <v>37.319048686134614</v>
      </c>
      <c r="L55" s="1697">
        <f t="shared" si="1"/>
        <v>559.78573029201925</v>
      </c>
      <c r="M55" s="1698">
        <f t="shared" si="1"/>
        <v>46.648810857668266</v>
      </c>
      <c r="N55" s="458"/>
      <c r="O55" s="887">
        <v>10000</v>
      </c>
      <c r="P55" s="467"/>
      <c r="Q55" s="286">
        <f>O55*$Q$50*M55+O55*(1-$Q$50)*K55</f>
        <v>419839.29771901446</v>
      </c>
      <c r="R55" s="458"/>
      <c r="S55" s="891">
        <f>IF(AND(Q55&lt;&gt;0,O55&lt;&gt;0),Q55/(1+$D$17+$D$18+$D$19)/O55/30/(($D$25*1000000/$D$8))*1000,0)</f>
        <v>4.6604160302824438</v>
      </c>
      <c r="T55" s="467" t="s">
        <v>382</v>
      </c>
      <c r="U55" s="870">
        <f>S55*O55*30*$D$11*(1+$D$24)/1000</f>
        <v>219937.60218563405</v>
      </c>
      <c r="V55" s="467" t="s">
        <v>383</v>
      </c>
      <c r="W55" s="901">
        <f>IF(O55&lt;&gt;0,U55/O55,0)</f>
        <v>21.993760218563406</v>
      </c>
      <c r="X55" s="467" t="s">
        <v>384</v>
      </c>
      <c r="Y55" s="287" t="str">
        <f>IF(O55=0,"-",IF(AND(((F55*(1-$Y$50))&lt;W55),(W55&lt;(G55*(1+$Y$50)))),"OK", "NOK"))</f>
        <v>OK</v>
      </c>
      <c r="Z55" s="151"/>
      <c r="AA55" s="249">
        <f>IF(OR(Y55="OK",Y55="-"),1,0)</f>
        <v>1</v>
      </c>
      <c r="AB55" s="473"/>
    </row>
    <row r="56" spans="1:28" s="262" customFormat="1" ht="24" hidden="1" customHeight="1" outlineLevel="1" x14ac:dyDescent="0.25">
      <c r="A56" s="458"/>
      <c r="B56" s="2307"/>
      <c r="C56" s="2308"/>
      <c r="D56" s="2310"/>
      <c r="E56" s="882"/>
      <c r="F56" s="1694">
        <f>G55</f>
        <v>25</v>
      </c>
      <c r="G56" s="1695">
        <v>35</v>
      </c>
      <c r="H56" s="1696">
        <v>6.5000000000000002E-2</v>
      </c>
      <c r="I56" s="1516"/>
      <c r="J56" s="1697">
        <f>$L$32*(H52+(G54-F54)*H54+(G55-F55)*H55+(G56-F56)*H56)*$B$51*$C$51</f>
        <v>607.32917587846464</v>
      </c>
      <c r="K56" s="1698">
        <f>$M$32*(H52+(G54-F54)*H54+(G55-F55)*H55+(G56-F56)*H56)*$B$51*$C$51</f>
        <v>50.61076465653872</v>
      </c>
      <c r="L56" s="1697">
        <f t="shared" si="1"/>
        <v>759.16146984808074</v>
      </c>
      <c r="M56" s="1698">
        <f t="shared" si="1"/>
        <v>63.2634558206734</v>
      </c>
      <c r="N56" s="458"/>
      <c r="O56" s="887">
        <v>5500</v>
      </c>
      <c r="P56" s="467"/>
      <c r="Q56" s="286">
        <f>O56*$Q$50*M56+O56*(1-$Q$50)*K56</f>
        <v>313154.10631233332</v>
      </c>
      <c r="R56" s="458"/>
      <c r="S56" s="891">
        <f>IF(AND(Q56&lt;&gt;0,O56&lt;&gt;0),Q56/(1+$D$17+$D$18+$D$19)/O56/30/(($D$25*1000000/$D$8))*1000,0)</f>
        <v>6.32029023284879</v>
      </c>
      <c r="T56" s="467" t="s">
        <v>382</v>
      </c>
      <c r="U56" s="870">
        <f>S56*O56*30*$D$11*(1+$D$24)/1000</f>
        <v>164049.34847955848</v>
      </c>
      <c r="V56" s="467" t="s">
        <v>383</v>
      </c>
      <c r="W56" s="901">
        <f>IF(O56&lt;&gt;0,U56/O56,0)</f>
        <v>29.827154269010634</v>
      </c>
      <c r="X56" s="467" t="s">
        <v>384</v>
      </c>
      <c r="Y56" s="287" t="str">
        <f>IF(O56=0,"-",IF(AND(((F56*(1-$Y$50))&lt;W56),(W56&lt;(G56*(1+$Y$50)))),"OK", "NOK"))</f>
        <v>OK</v>
      </c>
      <c r="Z56" s="151"/>
      <c r="AA56" s="249">
        <f>IF(OR(Y56="OK",Y56="-"),1,0)</f>
        <v>1</v>
      </c>
      <c r="AB56" s="473"/>
    </row>
    <row r="57" spans="1:28" s="262" customFormat="1" ht="24" hidden="1" customHeight="1" outlineLevel="1" x14ac:dyDescent="0.25">
      <c r="A57" s="458"/>
      <c r="B57" s="2307"/>
      <c r="C57" s="2308"/>
      <c r="D57" s="2310"/>
      <c r="E57" s="882"/>
      <c r="F57" s="1694">
        <f>G56</f>
        <v>35</v>
      </c>
      <c r="G57" s="1695">
        <v>50</v>
      </c>
      <c r="H57" s="1696">
        <f>0.06</f>
        <v>0.06</v>
      </c>
      <c r="I57" s="1516"/>
      <c r="J57" s="1697">
        <f>$L$32*(H52+(G54-F54)*H54+(G55-F55)*H55+(G56-F56)*H56+(G57-F57)*H57)*$B$51*$C$51</f>
        <v>828.17614892517906</v>
      </c>
      <c r="K57" s="1698">
        <f>$M$32*(H52+(G54-F54)*H54+(G55-F55)*H55+(G56-F56)*H56+(G57-F57)*H57)*$B$51*$C$51</f>
        <v>69.014679077098251</v>
      </c>
      <c r="L57" s="1697">
        <f t="shared" si="1"/>
        <v>1035.2201861564738</v>
      </c>
      <c r="M57" s="1698">
        <f t="shared" si="1"/>
        <v>86.268348846372817</v>
      </c>
      <c r="N57" s="458"/>
      <c r="O57" s="887">
        <v>366</v>
      </c>
      <c r="P57" s="467"/>
      <c r="Q57" s="286">
        <f>O57*$Q$50*M57+O57*(1-$Q$50)*K57</f>
        <v>28416.794109995208</v>
      </c>
      <c r="R57" s="458"/>
      <c r="S57" s="891">
        <f>IF(AND(Q57&lt;&gt;0,O57&lt;&gt;0),Q57/(1+$D$17+$D$18+$D$19)/O57/30/(($D$25*1000000/$D$8))*1000,0)</f>
        <v>8.6185775902483517</v>
      </c>
      <c r="T57" s="467" t="s">
        <v>382</v>
      </c>
      <c r="U57" s="870">
        <f>S57*O57*30*$D$11*(1+$D$24)/1000</f>
        <v>14886.46153971531</v>
      </c>
      <c r="V57" s="467" t="s">
        <v>383</v>
      </c>
      <c r="W57" s="901">
        <f>IF(O57&lt;&gt;0,U57/O57,0)</f>
        <v>40.673392185014507</v>
      </c>
      <c r="X57" s="467" t="s">
        <v>384</v>
      </c>
      <c r="Y57" s="287" t="str">
        <f>IF(O57=0,"-",IF(AND(((F57*(1-$Y$50))&lt;W57),(W57&lt;(G57*(1+$Y$50)))),"OK", "NOK"))</f>
        <v>OK</v>
      </c>
      <c r="Z57" s="151"/>
      <c r="AA57" s="249">
        <f>IF(OR(Y57="OK",Y57="-"),1,0)</f>
        <v>1</v>
      </c>
      <c r="AB57" s="473"/>
    </row>
    <row r="58" spans="1:28" s="262" customFormat="1" ht="24" hidden="1" customHeight="1" outlineLevel="1" x14ac:dyDescent="0.25">
      <c r="A58" s="458"/>
      <c r="B58" s="2307"/>
      <c r="C58" s="2308"/>
      <c r="D58" s="2310"/>
      <c r="E58" s="882"/>
      <c r="F58" s="1694">
        <f>G57</f>
        <v>50</v>
      </c>
      <c r="G58" s="1695">
        <v>100</v>
      </c>
      <c r="H58" s="1696">
        <v>0.05</v>
      </c>
      <c r="I58" s="1516"/>
      <c r="J58" s="1697">
        <f>$L$32*(H52+(G54-F54)*H54+(G55-F55)*H55+(G56-F56)*H56+(G57-F57)*H57+(G58-F58)*H58)*$B$51*$C$51</f>
        <v>1441.6399629438301</v>
      </c>
      <c r="K58" s="1698">
        <f>$M$32*(H52+(G54-F54)*H54+(G55-F55)*H55+(G56-F56)*H56+(G57-F57)*H57+(G58-F58)*H58)*$B$51*$C$51</f>
        <v>120.13666357865252</v>
      </c>
      <c r="L58" s="1697">
        <f t="shared" si="1"/>
        <v>1802.0499536797877</v>
      </c>
      <c r="M58" s="1698">
        <f t="shared" si="1"/>
        <v>150.17082947331565</v>
      </c>
      <c r="N58" s="458"/>
      <c r="O58" s="887">
        <v>993</v>
      </c>
      <c r="P58" s="467"/>
      <c r="Q58" s="286">
        <f>O58*$Q$50*M58+O58*(1-$Q$50)*K58</f>
        <v>134207.67030030218</v>
      </c>
      <c r="R58" s="458"/>
      <c r="S58" s="891">
        <f>IF(AND(Q58&lt;&gt;0,O58&lt;&gt;0),Q58/(1+$D$17+$D$18+$D$19)/O58/30/(($D$25*1000000/$D$8))*1000,0)</f>
        <v>15.00270913858046</v>
      </c>
      <c r="T58" s="467" t="s">
        <v>382</v>
      </c>
      <c r="U58" s="870">
        <f>S58*O58*30*$D$11*(1+$D$24)/1000</f>
        <v>70306.218024696718</v>
      </c>
      <c r="V58" s="467" t="s">
        <v>383</v>
      </c>
      <c r="W58" s="902">
        <f>IF(O58&lt;&gt;0,U58/O58,0)</f>
        <v>70.801830840580777</v>
      </c>
      <c r="X58" s="467" t="s">
        <v>384</v>
      </c>
      <c r="Y58" s="287" t="str">
        <f>IF(O58=0,"-",IF(AND(((F58*(1-$Y$50))&lt;W58),(W58&lt;(G58*(1+$Y$50)))),"OK", "NOK"))</f>
        <v>OK</v>
      </c>
      <c r="Z58" s="151"/>
      <c r="AA58" s="249">
        <f>IF(OR(Y58="OK",Y58="-"),1,0)</f>
        <v>1</v>
      </c>
      <c r="AB58" s="473"/>
    </row>
    <row r="59" spans="1:28" s="262" customFormat="1" ht="10.15" hidden="1" customHeight="1" outlineLevel="1" x14ac:dyDescent="0.25">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 hidden="1" customHeight="1" outlineLevel="1" x14ac:dyDescent="0.25">
      <c r="A60" s="458"/>
      <c r="B60" s="2293" t="s">
        <v>386</v>
      </c>
      <c r="C60" s="2294"/>
      <c r="D60" s="2294"/>
      <c r="E60" s="2294"/>
      <c r="F60" s="2294"/>
      <c r="G60" s="2294"/>
      <c r="H60" s="2294"/>
      <c r="I60" s="2294"/>
      <c r="J60" s="2294"/>
      <c r="K60" s="2294"/>
      <c r="L60" s="2294"/>
      <c r="M60" s="2294"/>
      <c r="N60" s="461"/>
      <c r="O60" s="458"/>
      <c r="P60" s="461"/>
      <c r="Q60" s="458"/>
      <c r="R60" s="461"/>
      <c r="S60" s="458"/>
      <c r="T60" s="458"/>
      <c r="U60" s="458"/>
      <c r="V60" s="458"/>
      <c r="W60" s="459"/>
      <c r="X60" s="458"/>
      <c r="Y60" s="459"/>
      <c r="Z60" s="458"/>
      <c r="AA60" s="458"/>
      <c r="AB60" s="473"/>
    </row>
    <row r="61" spans="1:28" s="1656" customFormat="1" ht="25.15" hidden="1" customHeight="1" outlineLevel="1" x14ac:dyDescent="0.45">
      <c r="A61" s="1649"/>
      <c r="B61" s="2295" t="s">
        <v>369</v>
      </c>
      <c r="C61" s="2287"/>
      <c r="D61" s="2287"/>
      <c r="E61" s="2296"/>
      <c r="F61" s="2287"/>
      <c r="G61" s="2287"/>
      <c r="H61" s="2287"/>
      <c r="I61" s="2296"/>
      <c r="J61" s="2287"/>
      <c r="K61" s="2287"/>
      <c r="L61" s="2287"/>
      <c r="M61" s="2287"/>
      <c r="N61" s="1650"/>
      <c r="O61" s="1651">
        <f>G7</f>
        <v>27439.800000000003</v>
      </c>
      <c r="P61" s="1652"/>
      <c r="Q61" s="1657"/>
      <c r="R61" s="1650"/>
      <c r="S61" s="1657"/>
      <c r="T61" s="1649"/>
      <c r="U61" s="1649"/>
      <c r="V61" s="1649"/>
      <c r="W61" s="1654"/>
      <c r="X61" s="1649"/>
      <c r="Y61" s="1654"/>
      <c r="Z61" s="1649"/>
      <c r="AA61" s="1649"/>
      <c r="AB61" s="1655"/>
    </row>
    <row r="62" spans="1:28" s="262" customFormat="1" ht="43.9" hidden="1" customHeight="1" outlineLevel="1" x14ac:dyDescent="0.25">
      <c r="A62" s="458"/>
      <c r="B62" s="2295" t="s">
        <v>370</v>
      </c>
      <c r="C62" s="2295" t="s">
        <v>371</v>
      </c>
      <c r="D62" s="2298"/>
      <c r="E62" s="1515"/>
      <c r="F62" s="2286" t="s">
        <v>372</v>
      </c>
      <c r="G62" s="2287"/>
      <c r="H62" s="2288"/>
      <c r="I62" s="881"/>
      <c r="J62" s="2284" t="s">
        <v>970</v>
      </c>
      <c r="K62" s="2285"/>
      <c r="L62" s="2285"/>
      <c r="M62" s="2285"/>
      <c r="N62" s="458"/>
      <c r="O62" s="265">
        <f>O65+O67+O68+O69+O70+O71</f>
        <v>27440</v>
      </c>
      <c r="P62" s="467"/>
      <c r="Q62" s="889">
        <f>Q65+Q67+Q68+Q69+Q70+Q71</f>
        <v>97394.051894438337</v>
      </c>
      <c r="R62" s="458"/>
      <c r="S62" s="2281">
        <f>IF(AND(Q62&lt;&gt;0,O62&lt;&gt;0),Q62/(1+$D$17+$D$18+$D$19)/(($D$25*1000000/$D$8)),0)</f>
        <v>324.33609943305953</v>
      </c>
      <c r="T62" s="2320" t="s">
        <v>373</v>
      </c>
      <c r="U62" s="2281">
        <f>U65+U67+U68+U69+U70+U71</f>
        <v>255104.92177821492</v>
      </c>
      <c r="V62" s="467" t="s">
        <v>374</v>
      </c>
      <c r="W62" s="2281">
        <f>W65*O65+W67*O67+W68*O68+W69*O69+W70*O70+W71*O71</f>
        <v>255104.92177821492</v>
      </c>
      <c r="X62" s="467" t="s">
        <v>374</v>
      </c>
      <c r="Y62" s="865" t="s">
        <v>375</v>
      </c>
      <c r="Z62" s="458"/>
      <c r="AA62" s="458"/>
      <c r="AB62" s="473"/>
    </row>
    <row r="63" spans="1:28" s="262" customFormat="1" ht="24" hidden="1" customHeight="1" outlineLevel="1" x14ac:dyDescent="0.25">
      <c r="A63" s="458"/>
      <c r="B63" s="2297"/>
      <c r="C63" s="1637" t="s">
        <v>376</v>
      </c>
      <c r="D63" s="1638" t="s">
        <v>377</v>
      </c>
      <c r="E63" s="1516"/>
      <c r="F63" s="2289"/>
      <c r="G63" s="2287"/>
      <c r="H63" s="2288"/>
      <c r="I63" s="882"/>
      <c r="J63" s="2290" t="s">
        <v>378</v>
      </c>
      <c r="K63" s="2291"/>
      <c r="L63" s="2292" t="s">
        <v>379</v>
      </c>
      <c r="M63" s="2291"/>
      <c r="N63" s="458"/>
      <c r="O63" s="894" t="s">
        <v>380</v>
      </c>
      <c r="P63" s="467"/>
      <c r="Q63" s="890">
        <v>0.25</v>
      </c>
      <c r="R63" s="458"/>
      <c r="S63" s="2302"/>
      <c r="T63" s="2321"/>
      <c r="U63" s="2302"/>
      <c r="V63" s="467"/>
      <c r="W63" s="2282"/>
      <c r="X63" s="467"/>
      <c r="Y63" s="893">
        <f>$Y$33</f>
        <v>0.1</v>
      </c>
      <c r="Z63" s="458"/>
      <c r="AA63" s="458"/>
      <c r="AB63" s="473"/>
    </row>
    <row r="64" spans="1:28" s="262" customFormat="1" ht="24" hidden="1" customHeight="1" outlineLevel="1" x14ac:dyDescent="0.25">
      <c r="A64" s="458"/>
      <c r="B64" s="2303">
        <f>B51*$H$15</f>
        <v>0.2</v>
      </c>
      <c r="C64" s="2303">
        <f>C51</f>
        <v>1</v>
      </c>
      <c r="D64" s="2303">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hidden="1" customHeight="1" outlineLevel="1" x14ac:dyDescent="0.25">
      <c r="A65" s="458"/>
      <c r="B65" s="2304"/>
      <c r="C65" s="2304"/>
      <c r="D65" s="2304"/>
      <c r="E65" s="882"/>
      <c r="F65" s="1694" t="s">
        <v>338</v>
      </c>
      <c r="G65" s="1699">
        <f>G52</f>
        <v>5</v>
      </c>
      <c r="H65" s="1700">
        <f>H52</f>
        <v>0.3</v>
      </c>
      <c r="I65" s="1516"/>
      <c r="J65" s="1701">
        <f>$L$32*H65*$B$64*$C$64</f>
        <v>14.723131536447628</v>
      </c>
      <c r="K65" s="1698">
        <f>$M$32*H65*$B$64*$C$64</f>
        <v>1.2269276280373023</v>
      </c>
      <c r="L65" s="1697">
        <f>J65*$D$51</f>
        <v>18.403914420559534</v>
      </c>
      <c r="M65" s="1698">
        <f>K65*$D$51</f>
        <v>1.5336595350466278</v>
      </c>
      <c r="N65" s="458"/>
      <c r="O65" s="887">
        <v>15000</v>
      </c>
      <c r="P65" s="467"/>
      <c r="Q65" s="286">
        <f>O65*$Q$63*M65+O65*(1-$Q$63)*K65</f>
        <v>19554.159071844504</v>
      </c>
      <c r="R65" s="458"/>
      <c r="S65" s="891">
        <f>IF(AND(Q65&lt;&gt;0,O65&lt;&gt;0),Q65/(1+$D$17+$D$18+$D$19)/$H$15/O65/30/(($D$25*1000000/$D$8))*1000,0)</f>
        <v>0.72353490881097271</v>
      </c>
      <c r="T65" s="467" t="s">
        <v>382</v>
      </c>
      <c r="U65" s="870">
        <f>S65*O65*30*$D$11*(1+$D$24)/1000</f>
        <v>51218.345714462703</v>
      </c>
      <c r="V65" s="467" t="s">
        <v>383</v>
      </c>
      <c r="W65" s="870">
        <f>IF(O65&lt;&gt;0,U65/O65,0)</f>
        <v>3.4145563809641803</v>
      </c>
      <c r="X65" s="467" t="s">
        <v>384</v>
      </c>
      <c r="Y65" s="287" t="str">
        <f>IF(O65=0,"-", IF(W65&lt;=(G65*(1+$Y$63)),"OK", "NOK"))</f>
        <v>OK</v>
      </c>
      <c r="Z65" s="284">
        <f>W65/$H$15</f>
        <v>17.0727819048209</v>
      </c>
      <c r="AA65" s="249">
        <f>IF(OR(Y65="OK",Y65="-"),1,0)</f>
        <v>1</v>
      </c>
      <c r="AB65" s="459"/>
    </row>
    <row r="66" spans="1:28" s="262" customFormat="1" ht="24" hidden="1" customHeight="1" outlineLevel="1" x14ac:dyDescent="0.25">
      <c r="A66" s="458"/>
      <c r="B66" s="2304"/>
      <c r="C66" s="2304"/>
      <c r="D66" s="2304"/>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hidden="1" customHeight="1" outlineLevel="1" x14ac:dyDescent="0.25">
      <c r="A67" s="458"/>
      <c r="B67" s="2304"/>
      <c r="C67" s="2304"/>
      <c r="D67" s="2304"/>
      <c r="E67" s="882"/>
      <c r="F67" s="1694">
        <f>G65</f>
        <v>5</v>
      </c>
      <c r="G67" s="1699">
        <f t="shared" ref="G67:H71" si="2">G54</f>
        <v>15</v>
      </c>
      <c r="H67" s="1700">
        <f t="shared" si="2"/>
        <v>0.08</v>
      </c>
      <c r="I67" s="1516"/>
      <c r="J67" s="1701">
        <f>$L$32*(H65+(G67-F67)*H67)*$B$64*$C$64</f>
        <v>53.984815633641304</v>
      </c>
      <c r="K67" s="1698">
        <f>$M$32*(H65+(G67-F67)*H67)*$B$64*$C$64</f>
        <v>4.4987346361367759</v>
      </c>
      <c r="L67" s="1697">
        <f t="shared" ref="L67:M71" si="3">J67*$D$51</f>
        <v>67.481019542051627</v>
      </c>
      <c r="M67" s="1698">
        <f t="shared" si="3"/>
        <v>5.6234182951709695</v>
      </c>
      <c r="N67" s="458"/>
      <c r="O67" s="887">
        <v>8400</v>
      </c>
      <c r="P67" s="467"/>
      <c r="Q67" s="286">
        <f>O67*$Q$63*M67+O67*(1-$Q$63)*K67</f>
        <v>40151.206627520725</v>
      </c>
      <c r="R67" s="458"/>
      <c r="S67" s="891">
        <f>IF(AND(Q67&lt;&gt;0,O67&lt;&gt;0),Q67/(1+$D$17+$D$18+$D$19)/$H$15/O67/30/(($D$25*1000000/$D$8))*1000,0)</f>
        <v>2.652961332306901</v>
      </c>
      <c r="T67" s="467" t="s">
        <v>382</v>
      </c>
      <c r="U67" s="870">
        <f>S67*O67*30*$D$11*(1+$D$24)/1000</f>
        <v>105168.3365336968</v>
      </c>
      <c r="V67" s="467" t="s">
        <v>383</v>
      </c>
      <c r="W67" s="870">
        <f>IF(O67&lt;&gt;0,U67/O67,0)</f>
        <v>12.520040063535333</v>
      </c>
      <c r="X67" s="467" t="s">
        <v>384</v>
      </c>
      <c r="Y67" s="287" t="str">
        <f>IF(O67=0,"-",IF(AND(((F67*(1-$Y$63))&lt;W67),(W67&lt;(G67*(1+$Y$63)))),"OK", "NOK"))</f>
        <v>OK</v>
      </c>
      <c r="Z67" s="284">
        <f>W67/$H$15</f>
        <v>62.600200317676666</v>
      </c>
      <c r="AA67" s="249">
        <f>IF(OR(Y67="OK",Y67="-"),1,0)</f>
        <v>1</v>
      </c>
      <c r="AB67" s="459"/>
    </row>
    <row r="68" spans="1:28" s="262" customFormat="1" ht="24" hidden="1" customHeight="1" outlineLevel="1" x14ac:dyDescent="0.25">
      <c r="A68" s="458"/>
      <c r="B68" s="2304"/>
      <c r="C68" s="2304"/>
      <c r="D68" s="2304"/>
      <c r="E68" s="882"/>
      <c r="F68" s="1694">
        <f>G67</f>
        <v>15</v>
      </c>
      <c r="G68" s="1699">
        <f t="shared" si="2"/>
        <v>25</v>
      </c>
      <c r="H68" s="1700">
        <f t="shared" si="2"/>
        <v>7.2499999999999995E-2</v>
      </c>
      <c r="I68" s="1516"/>
      <c r="J68" s="1701">
        <f>$L$32*(H65+(G67-F67)*H67+(G68-F68)*H68)*$B$64*$C$64</f>
        <v>89.565716846723092</v>
      </c>
      <c r="K68" s="1698">
        <f>$M$32*(H65+(G67-F67)*H67+(G68-F68)*H68)*$B$64*$C$64</f>
        <v>7.4638097372269234</v>
      </c>
      <c r="L68" s="1697">
        <f t="shared" si="3"/>
        <v>111.95714605840386</v>
      </c>
      <c r="M68" s="1698">
        <f t="shared" si="3"/>
        <v>9.3297621715336536</v>
      </c>
      <c r="N68" s="458"/>
      <c r="O68" s="887">
        <v>2960</v>
      </c>
      <c r="P68" s="467"/>
      <c r="Q68" s="286">
        <f>O68*$Q$63*M68+O68*(1-$Q$63)*K68</f>
        <v>23473.681623578675</v>
      </c>
      <c r="R68" s="458"/>
      <c r="S68" s="891">
        <f>IF(AND(Q68&lt;&gt;0,O68&lt;&gt;0),Q68/(1+$D$17+$D$18+$D$19)/$H$15/O68/30/(($D$25*1000000/$D$8))*1000,0)</f>
        <v>4.4015040286000851</v>
      </c>
      <c r="T68" s="467" t="s">
        <v>382</v>
      </c>
      <c r="U68" s="870">
        <f>S68*O68*30*$D$11*(1+$D$24)/1000</f>
        <v>61484.77856656169</v>
      </c>
      <c r="V68" s="467" t="s">
        <v>383</v>
      </c>
      <c r="W68" s="870">
        <f>IF(O68&lt;&gt;0,U68/O68,0)</f>
        <v>20.771884650865434</v>
      </c>
      <c r="X68" s="467" t="s">
        <v>384</v>
      </c>
      <c r="Y68" s="287" t="str">
        <f>IF(O68=0,"-",IF(AND(((F68*(1-$Y$63))&lt;W68),(W68&lt;(G68*(1+$Y$63)))),"OK", "NOK"))</f>
        <v>OK</v>
      </c>
      <c r="Z68" s="284">
        <f>W68/$H$15</f>
        <v>103.85942325432717</v>
      </c>
      <c r="AA68" s="249">
        <f>IF(OR(Y68="OK",Y68="-"),1,0)</f>
        <v>1</v>
      </c>
      <c r="AB68" s="459"/>
    </row>
    <row r="69" spans="1:28" s="262" customFormat="1" ht="24" hidden="1" customHeight="1" outlineLevel="1" x14ac:dyDescent="0.25">
      <c r="A69" s="458"/>
      <c r="B69" s="2304"/>
      <c r="C69" s="2304"/>
      <c r="D69" s="2304"/>
      <c r="E69" s="882"/>
      <c r="F69" s="1694">
        <f>G68</f>
        <v>25</v>
      </c>
      <c r="G69" s="1699">
        <f t="shared" si="2"/>
        <v>35</v>
      </c>
      <c r="H69" s="1700">
        <f t="shared" si="2"/>
        <v>6.5000000000000002E-2</v>
      </c>
      <c r="I69" s="1516"/>
      <c r="J69" s="1701">
        <f>$L$32*(H65+(G67-F67)*H67+(G68-F68)*H68+(G69-F69)*H69)*$B$64*$C$64</f>
        <v>121.46583517569293</v>
      </c>
      <c r="K69" s="1698">
        <f>$M$32*(H65+(G67-F67)*H67+(G68-F68)*H68+(G69-F69)*H69)*$B$64*$C$64</f>
        <v>10.122152931307745</v>
      </c>
      <c r="L69" s="1697">
        <f t="shared" si="3"/>
        <v>151.83229396961616</v>
      </c>
      <c r="M69" s="1698">
        <f t="shared" si="3"/>
        <v>12.652691164134682</v>
      </c>
      <c r="N69" s="458"/>
      <c r="O69" s="887">
        <v>693</v>
      </c>
      <c r="P69" s="467"/>
      <c r="Q69" s="286">
        <f>O69*$Q$63*M69+O69*(1-$Q$63)*K69</f>
        <v>7453.0677302335334</v>
      </c>
      <c r="R69" s="458"/>
      <c r="S69" s="891">
        <f>IF(AND(Q69&lt;&gt;0,O69&lt;&gt;0),Q69/(1+$D$17+$D$18+$D$19)/$H$15/O69/30/(($D$25*1000000/$D$8))*1000,0)</f>
        <v>5.9691629976905247</v>
      </c>
      <c r="T69" s="467" t="s">
        <v>382</v>
      </c>
      <c r="U69" s="870">
        <f>S69*O69*30*$D$11*(1+$D$24)/1000</f>
        <v>19521.872469067461</v>
      </c>
      <c r="V69" s="467" t="s">
        <v>383</v>
      </c>
      <c r="W69" s="870">
        <f>IF(O69&lt;&gt;0,U69/O69,0)</f>
        <v>28.170090142954489</v>
      </c>
      <c r="X69" s="467" t="s">
        <v>384</v>
      </c>
      <c r="Y69" s="287" t="str">
        <f>IF(O69=0,"-",IF(AND(((F69*(1-$Y$63))&lt;W69),(W69&lt;(G69*(1+$Y$63)))),"OK", "NOK"))</f>
        <v>OK</v>
      </c>
      <c r="Z69" s="284">
        <f>W69/$H$15</f>
        <v>140.85045071477245</v>
      </c>
      <c r="AA69" s="249">
        <f>IF(OR(Y69="OK",Y69="-"),1,0)</f>
        <v>1</v>
      </c>
      <c r="AB69" s="459"/>
    </row>
    <row r="70" spans="1:28" s="262" customFormat="1" ht="24" hidden="1" customHeight="1" outlineLevel="1" x14ac:dyDescent="0.25">
      <c r="A70" s="458"/>
      <c r="B70" s="2304"/>
      <c r="C70" s="2304"/>
      <c r="D70" s="2304"/>
      <c r="E70" s="882"/>
      <c r="F70" s="1694">
        <f>G69</f>
        <v>35</v>
      </c>
      <c r="G70" s="1699">
        <f t="shared" si="2"/>
        <v>50</v>
      </c>
      <c r="H70" s="1700">
        <f t="shared" si="2"/>
        <v>0.06</v>
      </c>
      <c r="I70" s="1516"/>
      <c r="J70" s="1701">
        <f>$L$32*(H65+(G67-F67)*H67+(G68-F68)*H68+(G69-F69)*H69+(G70-F70)*H70)*$B$64*$C$64</f>
        <v>165.63522978503582</v>
      </c>
      <c r="K70" s="1698">
        <f>$M$32*(H65+(G67-F67)*H67+(G68-F68)*H68+(G69-F69)*H69+(G70-F70)*H70)*$B$64*$C$64</f>
        <v>13.802935815419652</v>
      </c>
      <c r="L70" s="1697">
        <f t="shared" si="3"/>
        <v>207.04403723129477</v>
      </c>
      <c r="M70" s="1698">
        <f t="shared" si="3"/>
        <v>17.253669769274566</v>
      </c>
      <c r="N70" s="458"/>
      <c r="O70" s="887">
        <v>287</v>
      </c>
      <c r="P70" s="467"/>
      <c r="Q70" s="286">
        <f>O70*$Q$63*M70+O70*(1-$Q$63)*K70</f>
        <v>4209.0327402145303</v>
      </c>
      <c r="R70" s="458"/>
      <c r="S70" s="891">
        <f>IF(AND(Q70&lt;&gt;0,O70&lt;&gt;0),Q70/(1+$D$17+$D$18+$D$19)/$H$15/O70/30/(($D$25*1000000/$D$8))*1000,0)</f>
        <v>8.139767724123443</v>
      </c>
      <c r="T70" s="467" t="s">
        <v>382</v>
      </c>
      <c r="U70" s="870">
        <f>S70*O70*30*$D$11*(1+$D$24)/1000</f>
        <v>11024.748915038097</v>
      </c>
      <c r="V70" s="467" t="s">
        <v>383</v>
      </c>
      <c r="W70" s="870">
        <f>IF(O70&lt;&gt;0,U70/O70,0)</f>
        <v>38.413759285847028</v>
      </c>
      <c r="X70" s="467" t="s">
        <v>384</v>
      </c>
      <c r="Y70" s="287" t="str">
        <f>IF(O70=0,"-",IF(AND(((F70*(1-$Y$63))&lt;W70),(W70&lt;(G70*(1+$Y$63)))),"OK", "NOK"))</f>
        <v>OK</v>
      </c>
      <c r="Z70" s="284">
        <f>W70/$H$15</f>
        <v>192.06879642923514</v>
      </c>
      <c r="AA70" s="249">
        <f>IF(OR(Y70="OK",Y70="-"),1,0)</f>
        <v>1</v>
      </c>
      <c r="AB70" s="459"/>
    </row>
    <row r="71" spans="1:28" s="262" customFormat="1" ht="24" hidden="1" customHeight="1" outlineLevel="1" x14ac:dyDescent="0.25">
      <c r="A71" s="458"/>
      <c r="B71" s="2305"/>
      <c r="C71" s="2305"/>
      <c r="D71" s="2305"/>
      <c r="E71" s="882"/>
      <c r="F71" s="1694">
        <f>G70</f>
        <v>50</v>
      </c>
      <c r="G71" s="1699">
        <f t="shared" si="2"/>
        <v>100</v>
      </c>
      <c r="H71" s="1700">
        <f t="shared" si="2"/>
        <v>0.05</v>
      </c>
      <c r="I71" s="1516"/>
      <c r="J71" s="1701">
        <f>$L$32*(H65+(G67-F67)*H67+(G68-F68)*H68+(G69-F69)*H69+(G70-F70)*H70+(G71-F71)*H71)*$B$64*$C$64</f>
        <v>288.32799258876605</v>
      </c>
      <c r="K71" s="1698">
        <f>$M$32*(H65+(G67-F67)*H67+(G68-F68)*H68+(G69-F69)*H69+(G70-F70)*H70+(G71-F71)*H71)*$B$64*$C$64</f>
        <v>24.027332715730505</v>
      </c>
      <c r="L71" s="1697">
        <f t="shared" si="3"/>
        <v>360.40999073595754</v>
      </c>
      <c r="M71" s="1698">
        <f t="shared" si="3"/>
        <v>30.034165894663133</v>
      </c>
      <c r="N71" s="458"/>
      <c r="O71" s="887">
        <v>100</v>
      </c>
      <c r="P71" s="467"/>
      <c r="Q71" s="286">
        <f>O71*$Q$63*M71+O71*(1-$Q$63)*K71</f>
        <v>2552.9041010463661</v>
      </c>
      <c r="R71" s="458"/>
      <c r="S71" s="891">
        <f>IF(AND(Q71&lt;&gt;0,O71&lt;&gt;0),Q71/(1+$D$17+$D$18+$D$19)/$H$15/O71/30/(($D$25*1000000/$D$8))*1000,0)</f>
        <v>14.169225297548218</v>
      </c>
      <c r="T71" s="467" t="s">
        <v>382</v>
      </c>
      <c r="U71" s="870">
        <f>S71*O71*30*$D$11*(1+$D$24)/1000</f>
        <v>6686.8395793881882</v>
      </c>
      <c r="V71" s="467" t="s">
        <v>383</v>
      </c>
      <c r="W71" s="870">
        <f>IF(O71&lt;&gt;0,U71/O71,0)</f>
        <v>66.868395793881888</v>
      </c>
      <c r="X71" s="467" t="s">
        <v>384</v>
      </c>
      <c r="Y71" s="287" t="str">
        <f>IF(O71=0,"-",IF(AND(((F71*(1-$Y$63))&lt;W71),(W71&lt;(G71*(1+$Y$63)))),"OK", "NOK"))</f>
        <v>OK</v>
      </c>
      <c r="Z71" s="284">
        <f>W71/$H$15</f>
        <v>334.34197896940941</v>
      </c>
      <c r="AA71" s="249">
        <f>IF(OR(Y71="OK",Y71="-"),1,0)</f>
        <v>1</v>
      </c>
      <c r="AB71" s="459"/>
    </row>
    <row r="72" spans="1:28" s="262" customFormat="1" ht="10.15" hidden="1" customHeight="1" outlineLevel="1" x14ac:dyDescent="0.25">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 hidden="1" customHeight="1" outlineLevel="1" x14ac:dyDescent="0.25">
      <c r="A73" s="458"/>
      <c r="B73" s="2293" t="s">
        <v>762</v>
      </c>
      <c r="C73" s="2294"/>
      <c r="D73" s="2294"/>
      <c r="E73" s="2294"/>
      <c r="F73" s="2294"/>
      <c r="G73" s="2294"/>
      <c r="H73" s="2294"/>
      <c r="I73" s="2294"/>
      <c r="J73" s="2294"/>
      <c r="K73" s="2294"/>
      <c r="L73" s="2294"/>
      <c r="M73" s="2294"/>
      <c r="N73" s="458"/>
      <c r="O73" s="458"/>
      <c r="P73" s="458"/>
      <c r="Q73" s="458"/>
      <c r="R73" s="458"/>
      <c r="S73" s="458"/>
      <c r="T73" s="458"/>
      <c r="U73" s="458"/>
      <c r="V73" s="458"/>
      <c r="W73" s="459"/>
      <c r="X73" s="458"/>
      <c r="Y73" s="459"/>
      <c r="Z73" s="458"/>
      <c r="AA73" s="458"/>
      <c r="AB73" s="473"/>
    </row>
    <row r="74" spans="1:28" s="1656" customFormat="1" ht="25.15" hidden="1" customHeight="1" outlineLevel="1" x14ac:dyDescent="0.45">
      <c r="A74" s="1649"/>
      <c r="B74" s="2295" t="s">
        <v>369</v>
      </c>
      <c r="C74" s="2287"/>
      <c r="D74" s="2287"/>
      <c r="E74" s="2296"/>
      <c r="F74" s="2287"/>
      <c r="G74" s="2287"/>
      <c r="H74" s="2287"/>
      <c r="I74" s="2296"/>
      <c r="J74" s="2287"/>
      <c r="K74" s="2287"/>
      <c r="L74" s="2287"/>
      <c r="M74" s="2287"/>
      <c r="N74" s="1649"/>
      <c r="O74" s="1651">
        <f>G8</f>
        <v>27439.8</v>
      </c>
      <c r="P74" s="1658"/>
      <c r="Q74" s="1649"/>
      <c r="R74" s="1649"/>
      <c r="S74" s="1649"/>
      <c r="T74" s="1649"/>
      <c r="U74" s="1649"/>
      <c r="V74" s="1649"/>
      <c r="W74" s="1654"/>
      <c r="X74" s="1649"/>
      <c r="Y74" s="1654"/>
      <c r="Z74" s="1649"/>
      <c r="AA74" s="1649"/>
      <c r="AB74" s="1655"/>
    </row>
    <row r="75" spans="1:28" s="262" customFormat="1" ht="37.9" hidden="1" customHeight="1" outlineLevel="1" x14ac:dyDescent="0.25">
      <c r="A75" s="459"/>
      <c r="B75" s="2295" t="s">
        <v>370</v>
      </c>
      <c r="C75" s="2295" t="s">
        <v>371</v>
      </c>
      <c r="D75" s="2298"/>
      <c r="E75" s="1515"/>
      <c r="F75" s="2286" t="s">
        <v>372</v>
      </c>
      <c r="G75" s="2287"/>
      <c r="H75" s="2288"/>
      <c r="I75" s="881"/>
      <c r="J75" s="2284" t="s">
        <v>970</v>
      </c>
      <c r="K75" s="2285"/>
      <c r="L75" s="2285"/>
      <c r="M75" s="2285"/>
      <c r="N75" s="458"/>
      <c r="O75" s="265">
        <f>O78+O80+O81+O82+O83+O84</f>
        <v>27440</v>
      </c>
      <c r="P75" s="467"/>
      <c r="Q75" s="889">
        <f>Q78+Q80+Q81+Q82+Q83+Q84</f>
        <v>1408145.6055281791</v>
      </c>
      <c r="R75" s="458"/>
      <c r="S75" s="2281">
        <f>IF(AND(Q75&lt;&gt;0,O75&lt;&gt;0),Q75/(1+$D$17+$D$18+$D$19)/(($D$25*1000000/$D$8)),0)</f>
        <v>4689.3259315859086</v>
      </c>
      <c r="T75" s="2320" t="s">
        <v>373</v>
      </c>
      <c r="U75" s="2281">
        <f>U78+U80+U81+U82+U83+U84</f>
        <v>737673.1280057088</v>
      </c>
      <c r="V75" s="467" t="s">
        <v>374</v>
      </c>
      <c r="W75" s="2281">
        <f>W78*O78+W80*O80+W81*O81+W82*O82+W83*O83+W84*O84</f>
        <v>737673.1280057088</v>
      </c>
      <c r="X75" s="467" t="s">
        <v>374</v>
      </c>
      <c r="Y75" s="865" t="s">
        <v>375</v>
      </c>
      <c r="Z75" s="151"/>
      <c r="AA75" s="151"/>
      <c r="AB75" s="473"/>
    </row>
    <row r="76" spans="1:28" s="262" customFormat="1" ht="24" hidden="1" customHeight="1" outlineLevel="1" x14ac:dyDescent="0.25">
      <c r="A76" s="459"/>
      <c r="B76" s="2297"/>
      <c r="C76" s="1637" t="s">
        <v>376</v>
      </c>
      <c r="D76" s="1638" t="s">
        <v>377</v>
      </c>
      <c r="E76" s="1516"/>
      <c r="F76" s="2289"/>
      <c r="G76" s="2287"/>
      <c r="H76" s="2288"/>
      <c r="I76" s="882"/>
      <c r="J76" s="2290" t="s">
        <v>378</v>
      </c>
      <c r="K76" s="2291"/>
      <c r="L76" s="2292" t="s">
        <v>379</v>
      </c>
      <c r="M76" s="2291"/>
      <c r="N76" s="458"/>
      <c r="O76" s="894" t="s">
        <v>380</v>
      </c>
      <c r="P76" s="467"/>
      <c r="Q76" s="890">
        <v>0.5</v>
      </c>
      <c r="R76" s="458"/>
      <c r="S76" s="2302"/>
      <c r="T76" s="2321"/>
      <c r="U76" s="2302"/>
      <c r="V76" s="467"/>
      <c r="W76" s="2282"/>
      <c r="X76" s="467"/>
      <c r="Y76" s="893">
        <f>$Y$33</f>
        <v>0.1</v>
      </c>
      <c r="Z76" s="151"/>
      <c r="AA76" s="151"/>
      <c r="AB76" s="473"/>
    </row>
    <row r="77" spans="1:28" s="262" customFormat="1" ht="24" hidden="1" customHeight="1" outlineLevel="1" x14ac:dyDescent="0.25">
      <c r="A77" s="459"/>
      <c r="B77" s="2306">
        <v>2</v>
      </c>
      <c r="C77" s="2306">
        <v>1</v>
      </c>
      <c r="D77" s="2309">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hidden="1" customHeight="1" outlineLevel="1" x14ac:dyDescent="0.25">
      <c r="A78" s="458"/>
      <c r="B78" s="2307"/>
      <c r="C78" s="2311"/>
      <c r="D78" s="2312"/>
      <c r="E78" s="882"/>
      <c r="F78" s="1694" t="s">
        <v>338</v>
      </c>
      <c r="G78" s="1695">
        <v>5</v>
      </c>
      <c r="H78" s="1696">
        <f>0.35-0.25</f>
        <v>9.9999999999999978E-2</v>
      </c>
      <c r="I78" s="1516"/>
      <c r="J78" s="1697">
        <f>$L$32*H78*$B$77*$C$77</f>
        <v>49.077105121492082</v>
      </c>
      <c r="K78" s="1698">
        <f>$M$32*H78*$B$77*$C$77</f>
        <v>4.0897587601243401</v>
      </c>
      <c r="L78" s="1697">
        <f>J78*$D$77</f>
        <v>61.346381401865102</v>
      </c>
      <c r="M78" s="1698">
        <f>K78*$D$77</f>
        <v>5.1121984501554252</v>
      </c>
      <c r="N78" s="458"/>
      <c r="O78" s="887">
        <v>7692</v>
      </c>
      <c r="P78" s="467"/>
      <c r="Q78" s="286">
        <f>O78*$Q$76*M78+O78*(1-$Q$76)*K78</f>
        <v>35390.727430735977</v>
      </c>
      <c r="R78" s="458"/>
      <c r="S78" s="891">
        <f>IF(AND(Q78&lt;&gt;0,O78&lt;&gt;0),Q78/(1+$D$17+$D$18+$D$19)/O78/30/(($D$25*1000000/$D$8))*1000,0)</f>
        <v>0.51073052386656881</v>
      </c>
      <c r="T78" s="467" t="s">
        <v>382</v>
      </c>
      <c r="U78" s="870">
        <f>S78*O78*30*$D$11*(1+$D$24)/1000</f>
        <v>18539.836011089268</v>
      </c>
      <c r="V78" s="467" t="s">
        <v>383</v>
      </c>
      <c r="W78" s="870">
        <f>IF(O78&lt;&gt;0,U78/O78,0)</f>
        <v>2.4102750924453025</v>
      </c>
      <c r="X78" s="467" t="s">
        <v>383</v>
      </c>
      <c r="Y78" s="287" t="str">
        <f>IF(O78=0,"-", IF(W78&lt;=(G78*(1+$Y$76)),"OK", "NOK"))</f>
        <v>OK</v>
      </c>
      <c r="Z78" s="151"/>
      <c r="AA78" s="249">
        <f>IF(OR(Y78="OK",Y78="-"),1,0)</f>
        <v>1</v>
      </c>
      <c r="AB78" s="473"/>
    </row>
    <row r="79" spans="1:28" s="262" customFormat="1" ht="24" hidden="1" customHeight="1" outlineLevel="1" x14ac:dyDescent="0.25">
      <c r="A79" s="458"/>
      <c r="B79" s="2307"/>
      <c r="C79" s="2311"/>
      <c r="D79" s="2312"/>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hidden="1" customHeight="1" outlineLevel="1" x14ac:dyDescent="0.25">
      <c r="A80" s="458"/>
      <c r="B80" s="2307"/>
      <c r="C80" s="2311"/>
      <c r="D80" s="2312"/>
      <c r="E80" s="882"/>
      <c r="F80" s="1694">
        <f>G78</f>
        <v>5</v>
      </c>
      <c r="G80" s="1695">
        <v>20</v>
      </c>
      <c r="H80" s="1696">
        <f>0.05</f>
        <v>0.05</v>
      </c>
      <c r="I80" s="1516"/>
      <c r="J80" s="1697">
        <f>$L$32*(H78+(G80-F80)*H80)*$B$77*$C$77</f>
        <v>417.15539353268281</v>
      </c>
      <c r="K80" s="1698">
        <f>$M$32*(H78+(G80-F80)*H80)*$B$77*$C$77</f>
        <v>34.762949461056898</v>
      </c>
      <c r="L80" s="1697">
        <f t="shared" ref="L80:M84" si="4">J80*$D$77</f>
        <v>521.44424191585347</v>
      </c>
      <c r="M80" s="1698">
        <f t="shared" si="4"/>
        <v>43.453686826321125</v>
      </c>
      <c r="N80" s="458"/>
      <c r="O80" s="887">
        <v>8500</v>
      </c>
      <c r="P80" s="467"/>
      <c r="Q80" s="286">
        <f>O80*$Q$76*M80+O80*(1-$Q$76)*K80</f>
        <v>332420.7042213566</v>
      </c>
      <c r="R80" s="458"/>
      <c r="S80" s="891">
        <f>IF(AND(Q80&lt;&gt;0,O80&lt;&gt;0),Q80/(1+$D$17+$D$18+$D$19)/O80/30/(($D$25*1000000/$D$8))*1000,0)</f>
        <v>4.3412094528658374</v>
      </c>
      <c r="T80" s="467" t="s">
        <v>382</v>
      </c>
      <c r="U80" s="870">
        <f>S80*O80*30*$D$11*(1+$D$24)/1000</f>
        <v>174142.37542917323</v>
      </c>
      <c r="V80" s="467" t="s">
        <v>383</v>
      </c>
      <c r="W80" s="870">
        <f>IF(O80&lt;&gt;0,U80/O80,0)</f>
        <v>20.487338285785086</v>
      </c>
      <c r="X80" s="467" t="s">
        <v>383</v>
      </c>
      <c r="Y80" s="287" t="str">
        <f>IF(O80=0,"-",IF(AND(((F80*(1-$Y$76))&lt;W80),(W80&lt;(G80*(1+$Y$76)))),"OK", "NOK"))</f>
        <v>OK</v>
      </c>
      <c r="Z80" s="151"/>
      <c r="AA80" s="249">
        <f>IF(OR(Y80="OK",Y80="-"),1,0)</f>
        <v>1</v>
      </c>
      <c r="AB80" s="473"/>
    </row>
    <row r="81" spans="1:28" s="262" customFormat="1" ht="24" hidden="1" customHeight="1" outlineLevel="1" x14ac:dyDescent="0.25">
      <c r="A81" s="458"/>
      <c r="B81" s="2307"/>
      <c r="C81" s="2311"/>
      <c r="D81" s="2312"/>
      <c r="E81" s="882"/>
      <c r="F81" s="1694">
        <f>G80</f>
        <v>20</v>
      </c>
      <c r="G81" s="1695">
        <v>30</v>
      </c>
      <c r="H81" s="1696">
        <f>0.045</f>
        <v>4.4999999999999998E-2</v>
      </c>
      <c r="I81" s="1516"/>
      <c r="J81" s="1697">
        <f>$L$32*(H78+(G80-F80)*H80+(G81-F81)*H81)*$B$77*$C$77</f>
        <v>638.00236657939718</v>
      </c>
      <c r="K81" s="1698">
        <f>$M$32*(H78+(G80-F80)*H80+(G81-F81)*H81)*$B$77*$C$77</f>
        <v>53.166863881616422</v>
      </c>
      <c r="L81" s="1697">
        <f t="shared" si="4"/>
        <v>797.50295822424641</v>
      </c>
      <c r="M81" s="1698">
        <f t="shared" si="4"/>
        <v>66.458579852020534</v>
      </c>
      <c r="N81" s="458"/>
      <c r="O81" s="887">
        <v>2573</v>
      </c>
      <c r="P81" s="467"/>
      <c r="Q81" s="286">
        <f>O81*$Q$76*M81+O81*(1-$Q$76)*K81</f>
        <v>153898.13336332393</v>
      </c>
      <c r="R81" s="458"/>
      <c r="S81" s="891">
        <f>IF(AND(Q81&lt;&gt;0,O81&lt;&gt;0),Q81/(1+$D$17+$D$18+$D$19)/O81/30/(($D$25*1000000/$D$8))*1000,0)</f>
        <v>6.6394968102653937</v>
      </c>
      <c r="T81" s="467" t="s">
        <v>382</v>
      </c>
      <c r="U81" s="870">
        <f>S81*O81*30*$D$11*(1+$D$24)/1000</f>
        <v>80621.291567202934</v>
      </c>
      <c r="V81" s="467" t="s">
        <v>383</v>
      </c>
      <c r="W81" s="870">
        <f>IF(O81&lt;&gt;0,U81/O81,0)</f>
        <v>31.333576201788937</v>
      </c>
      <c r="X81" s="467" t="s">
        <v>383</v>
      </c>
      <c r="Y81" s="287" t="str">
        <f>IF(O81=0,"-",IF(AND(((F81*(1-$Y$76))&lt;W81),(W81&lt;(G81*(1+$Y$76)))),"OK", "NOK"))</f>
        <v>OK</v>
      </c>
      <c r="Z81" s="151"/>
      <c r="AA81" s="249">
        <f>IF(OR(Y81="OK",Y81="-"),1,0)</f>
        <v>1</v>
      </c>
      <c r="AB81" s="473"/>
    </row>
    <row r="82" spans="1:28" s="262" customFormat="1" ht="24" hidden="1" customHeight="1" outlineLevel="1" x14ac:dyDescent="0.25">
      <c r="A82" s="458"/>
      <c r="B82" s="2307"/>
      <c r="C82" s="2311"/>
      <c r="D82" s="2312"/>
      <c r="E82" s="882"/>
      <c r="F82" s="1694">
        <f>G81</f>
        <v>30</v>
      </c>
      <c r="G82" s="1695">
        <v>40</v>
      </c>
      <c r="H82" s="1696">
        <f>0.04</f>
        <v>0.04</v>
      </c>
      <c r="I82" s="1516"/>
      <c r="J82" s="1697">
        <f>$L$32*(H78+(G80-F80)*H80+(G81-F81)*H81+(G82-F82)*H82)*$B$77*$C$77</f>
        <v>834.3107870653655</v>
      </c>
      <c r="K82" s="1698">
        <f>$M$32*(H78+(G80-F80)*H80+(G81-F81)*H81+(G82-F82)*H82)*$B$77*$C$77</f>
        <v>69.525898922113782</v>
      </c>
      <c r="L82" s="1697">
        <f t="shared" si="4"/>
        <v>1042.8884838317069</v>
      </c>
      <c r="M82" s="1698">
        <f t="shared" si="4"/>
        <v>86.907373652642235</v>
      </c>
      <c r="N82" s="458"/>
      <c r="O82" s="887">
        <v>4825</v>
      </c>
      <c r="P82" s="467"/>
      <c r="Q82" s="286">
        <f>O82*$Q$76*M82+O82*(1-$Q$76)*K82</f>
        <v>377395.27008659893</v>
      </c>
      <c r="R82" s="458"/>
      <c r="S82" s="891">
        <f>IF(AND(Q82&lt;&gt;0,O82&lt;&gt;0),Q82/(1+$D$17+$D$18+$D$19)/O82/30/(($D$25*1000000/$D$8))*1000,0)</f>
        <v>8.682418905731673</v>
      </c>
      <c r="T82" s="467" t="s">
        <v>382</v>
      </c>
      <c r="U82" s="870">
        <f>S82*O82*30*$D$11*(1+$D$24)/1000</f>
        <v>197702.81445782608</v>
      </c>
      <c r="V82" s="467" t="s">
        <v>383</v>
      </c>
      <c r="W82" s="870">
        <f>IF(O82&lt;&gt;0,U82/O82,0)</f>
        <v>40.974676571570171</v>
      </c>
      <c r="X82" s="467" t="s">
        <v>383</v>
      </c>
      <c r="Y82" s="287" t="str">
        <f>IF(O82=0,"-",IF(AND(((F82*(1-$Y$76))&lt;W82),(W82&lt;(G82*(1+$Y$76)))),"OK", "NOK"))</f>
        <v>OK</v>
      </c>
      <c r="Z82" s="151"/>
      <c r="AA82" s="249">
        <f>IF(OR(Y82="OK",Y82="-"),1,0)</f>
        <v>1</v>
      </c>
      <c r="AB82" s="473"/>
    </row>
    <row r="83" spans="1:28" s="262" customFormat="1" ht="24" hidden="1" customHeight="1" outlineLevel="1" x14ac:dyDescent="0.25">
      <c r="A83" s="458"/>
      <c r="B83" s="2307"/>
      <c r="C83" s="2311"/>
      <c r="D83" s="2312"/>
      <c r="E83" s="882"/>
      <c r="F83" s="1694">
        <f>G82</f>
        <v>40</v>
      </c>
      <c r="G83" s="1695">
        <v>55</v>
      </c>
      <c r="H83" s="1696">
        <f>0.035</f>
        <v>3.5000000000000003E-2</v>
      </c>
      <c r="I83" s="1516"/>
      <c r="J83" s="1697">
        <f>$L$32*(H78+(G80-F80)*H80+(G81-F81)*H81+(G82-F82)*H82+(G83-F83)*H83)*$B$77*$C$77</f>
        <v>1091.9655889531989</v>
      </c>
      <c r="K83" s="1698">
        <f>$M$32*(H78+(G80-F80)*H80+(G81-F81)*H81+(G82-F82)*H82+(G83-F83)*H83)*$B$77*$C$77</f>
        <v>90.997132412766575</v>
      </c>
      <c r="L83" s="1697">
        <f t="shared" si="4"/>
        <v>1364.9569861914986</v>
      </c>
      <c r="M83" s="1698">
        <f t="shared" si="4"/>
        <v>113.74641551595822</v>
      </c>
      <c r="N83" s="458"/>
      <c r="O83" s="887">
        <v>2000</v>
      </c>
      <c r="P83" s="467"/>
      <c r="Q83" s="286">
        <f>O83*$Q$76*M83+O83*(1-$Q$76)*K83</f>
        <v>204743.54792872479</v>
      </c>
      <c r="R83" s="458"/>
      <c r="S83" s="891">
        <f>IF(AND(Q83&lt;&gt;0,O83&lt;&gt;0),Q83/(1+$D$17+$D$18+$D$19)/O83/30/(($D$25*1000000/$D$8))*1000,0)</f>
        <v>11.363754156031156</v>
      </c>
      <c r="T83" s="467" t="s">
        <v>382</v>
      </c>
      <c r="U83" s="870">
        <f>S83*O83*30*$D$11*(1+$D$24)/1000</f>
        <v>107257.24161381599</v>
      </c>
      <c r="V83" s="1620" t="s">
        <v>383</v>
      </c>
      <c r="W83" s="870">
        <f>IF(O83&lt;&gt;0,U83/O83,0)</f>
        <v>53.628620806907996</v>
      </c>
      <c r="X83" s="467" t="s">
        <v>383</v>
      </c>
      <c r="Y83" s="287" t="str">
        <f>IF(O83=0,"-",IF(AND(((F83*(1-$Y$76))&lt;W83),(W83&lt;(G83*(1+$Y$76)))),"OK", "NOK"))</f>
        <v>OK</v>
      </c>
      <c r="Z83" s="151"/>
      <c r="AA83" s="249">
        <f>IF(OR(Y83="OK",Y83="-"),1,0)</f>
        <v>1</v>
      </c>
      <c r="AB83" s="473"/>
    </row>
    <row r="84" spans="1:28" s="262" customFormat="1" ht="24" hidden="1" customHeight="1" outlineLevel="1" x14ac:dyDescent="0.25">
      <c r="A84" s="458"/>
      <c r="B84" s="2307"/>
      <c r="C84" s="2311"/>
      <c r="D84" s="2312"/>
      <c r="E84" s="882"/>
      <c r="F84" s="1694">
        <f>G83</f>
        <v>55</v>
      </c>
      <c r="G84" s="1695">
        <v>100</v>
      </c>
      <c r="H84" s="1696">
        <f>0.03</f>
        <v>0.03</v>
      </c>
      <c r="I84" s="1516"/>
      <c r="J84" s="1697">
        <f>$L$32*(H78+(G80-F80)*H80+(G81-F81)*H81+(G82-F82)*H82+(G83-F83)*H83+(G84-F84)*H84)*$B$77*$C$77</f>
        <v>1754.5065080933421</v>
      </c>
      <c r="K84" s="1698">
        <f>$M$32*(H78+(G80-F80)*H80+(G81-F81)*H81+(G82-F82)*H82+(G83-F83)*H83+(G84-F84)*H84)*$B$77*$C$77</f>
        <v>146.20887567444515</v>
      </c>
      <c r="L84" s="1697">
        <f t="shared" si="4"/>
        <v>2193.1331351166777</v>
      </c>
      <c r="M84" s="1698">
        <f t="shared" si="4"/>
        <v>182.76109459305644</v>
      </c>
      <c r="N84" s="458"/>
      <c r="O84" s="887">
        <v>1850</v>
      </c>
      <c r="P84" s="467"/>
      <c r="Q84" s="286">
        <f>O84*$Q$76*M84+O84*(1-$Q$76)*K84</f>
        <v>304297.22249743901</v>
      </c>
      <c r="R84" s="458"/>
      <c r="S84" s="891">
        <f>IF(AND(Q84&lt;&gt;0,O84&lt;&gt;0),Q84/(1+$D$17+$D$18+$D$19)/O84/30/(($D$25*1000000/$D$8))*1000,0)</f>
        <v>18.25861622822984</v>
      </c>
      <c r="T84" s="467" t="s">
        <v>382</v>
      </c>
      <c r="U84" s="870">
        <f>S84*O84*30*$D$11*(1+$D$24)/1000</f>
        <v>159409.56892660129</v>
      </c>
      <c r="V84" s="467" t="s">
        <v>383</v>
      </c>
      <c r="W84" s="870">
        <f>IF(O84&lt;&gt;0,U84/O84,0)</f>
        <v>86.16733455491962</v>
      </c>
      <c r="X84" s="467" t="s">
        <v>383</v>
      </c>
      <c r="Y84" s="287" t="str">
        <f>IF(O84=0,"-",IF(AND(((F84*(1-$Y$76))&lt;W84),(W84&lt;(G84*(1+$Y$76)))),"OK", "NOK"))</f>
        <v>OK</v>
      </c>
      <c r="Z84" s="151"/>
      <c r="AA84" s="249">
        <f>IF(OR(Y84="OK",Y84="-"),1,0)</f>
        <v>1</v>
      </c>
      <c r="AB84" s="473"/>
    </row>
    <row r="85" spans="1:28" s="262" customFormat="1" ht="10.15" hidden="1" customHeight="1" outlineLevel="1" x14ac:dyDescent="0.25">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 hidden="1" customHeight="1" outlineLevel="1" x14ac:dyDescent="0.25">
      <c r="A86" s="458"/>
      <c r="B86" s="2293" t="s">
        <v>387</v>
      </c>
      <c r="C86" s="2294"/>
      <c r="D86" s="2294"/>
      <c r="E86" s="2294"/>
      <c r="F86" s="2294"/>
      <c r="G86" s="2294"/>
      <c r="H86" s="2294"/>
      <c r="I86" s="2294"/>
      <c r="J86" s="2294"/>
      <c r="K86" s="2294"/>
      <c r="L86" s="2294"/>
      <c r="M86" s="2294"/>
      <c r="N86" s="458"/>
      <c r="O86" s="458"/>
      <c r="P86" s="458"/>
      <c r="Q86" s="458"/>
      <c r="R86" s="458"/>
      <c r="S86" s="458"/>
      <c r="T86" s="458"/>
      <c r="U86" s="458"/>
      <c r="V86" s="458"/>
      <c r="W86" s="459"/>
      <c r="X86" s="458"/>
      <c r="Y86" s="459"/>
      <c r="Z86" s="458"/>
      <c r="AA86" s="458"/>
      <c r="AB86" s="473"/>
    </row>
    <row r="87" spans="1:28" s="1656" customFormat="1" ht="25.15" hidden="1" customHeight="1" outlineLevel="1" x14ac:dyDescent="0.45">
      <c r="A87" s="1649"/>
      <c r="B87" s="2295" t="s">
        <v>369</v>
      </c>
      <c r="C87" s="2287"/>
      <c r="D87" s="2287"/>
      <c r="E87" s="2296"/>
      <c r="F87" s="2287"/>
      <c r="G87" s="2287"/>
      <c r="H87" s="2287"/>
      <c r="I87" s="2296"/>
      <c r="J87" s="2287"/>
      <c r="K87" s="2287"/>
      <c r="L87" s="2287"/>
      <c r="M87" s="2287"/>
      <c r="N87" s="1649"/>
      <c r="O87" s="1651">
        <f>G10</f>
        <v>5</v>
      </c>
      <c r="P87" s="1658"/>
      <c r="Q87" s="1649"/>
      <c r="R87" s="1649"/>
      <c r="S87" s="1649"/>
      <c r="T87" s="1649"/>
      <c r="U87" s="1649"/>
      <c r="V87" s="1649"/>
      <c r="W87" s="1654"/>
      <c r="X87" s="1649"/>
      <c r="Y87" s="1654"/>
      <c r="Z87" s="1649"/>
      <c r="AA87" s="1649"/>
      <c r="AB87" s="1655"/>
    </row>
    <row r="88" spans="1:28" s="262" customFormat="1" ht="46.9" hidden="1" customHeight="1" outlineLevel="1" x14ac:dyDescent="0.25">
      <c r="A88" s="458"/>
      <c r="B88" s="2295" t="s">
        <v>370</v>
      </c>
      <c r="C88" s="2295" t="s">
        <v>371</v>
      </c>
      <c r="D88" s="2298"/>
      <c r="E88" s="1515"/>
      <c r="F88" s="2286" t="s">
        <v>372</v>
      </c>
      <c r="G88" s="2287"/>
      <c r="H88" s="2288"/>
      <c r="I88" s="881"/>
      <c r="J88" s="2284" t="s">
        <v>970</v>
      </c>
      <c r="K88" s="2285"/>
      <c r="L88" s="2285"/>
      <c r="M88" s="2285"/>
      <c r="N88" s="458"/>
      <c r="O88" s="287">
        <f>O91+O93+O94+O95+O96</f>
        <v>5</v>
      </c>
      <c r="P88" s="467"/>
      <c r="Q88" s="889">
        <f>Q91+Q93+Q94+Q95+Q96</f>
        <v>1192.1646785762455</v>
      </c>
      <c r="R88" s="458"/>
      <c r="S88" s="2281">
        <f>IF(AND(Q88&lt;&gt;0,O88&lt;&gt;0),Q88/(1+$D$17+$D$18+$D$19)/(($D$25*1000000/$D$8)),0)</f>
        <v>3.9700786055227959</v>
      </c>
      <c r="T88" s="2320" t="s">
        <v>373</v>
      </c>
      <c r="U88" s="2281">
        <f>U91+U93+U94+U95+U96+Z97</f>
        <v>624.52905728693872</v>
      </c>
      <c r="V88" s="458" t="s">
        <v>374</v>
      </c>
      <c r="W88" s="2281">
        <f>W91*O91+W93*O93+W94*O94+W95*O95+W96*O96</f>
        <v>624.52905728693872</v>
      </c>
      <c r="X88" s="467" t="s">
        <v>374</v>
      </c>
      <c r="Y88" s="865" t="s">
        <v>375</v>
      </c>
      <c r="Z88" s="151"/>
      <c r="AA88" s="151"/>
      <c r="AB88" s="473"/>
    </row>
    <row r="89" spans="1:28" s="262" customFormat="1" ht="24" hidden="1" customHeight="1" outlineLevel="1" x14ac:dyDescent="0.25">
      <c r="A89" s="458"/>
      <c r="B89" s="2297"/>
      <c r="C89" s="1637" t="s">
        <v>376</v>
      </c>
      <c r="D89" s="1638" t="s">
        <v>377</v>
      </c>
      <c r="E89" s="1516"/>
      <c r="F89" s="2289"/>
      <c r="G89" s="2287"/>
      <c r="H89" s="2288"/>
      <c r="I89" s="882"/>
      <c r="J89" s="2290" t="s">
        <v>378</v>
      </c>
      <c r="K89" s="2291"/>
      <c r="L89" s="2292" t="s">
        <v>379</v>
      </c>
      <c r="M89" s="2291"/>
      <c r="N89" s="458"/>
      <c r="O89" s="894" t="s">
        <v>380</v>
      </c>
      <c r="P89" s="467"/>
      <c r="Q89" s="890">
        <v>0.25</v>
      </c>
      <c r="R89" s="458"/>
      <c r="S89" s="2302"/>
      <c r="T89" s="2321"/>
      <c r="U89" s="2302"/>
      <c r="V89" s="458"/>
      <c r="W89" s="2282"/>
      <c r="X89" s="467"/>
      <c r="Y89" s="893">
        <f>$Y$33</f>
        <v>0.1</v>
      </c>
      <c r="Z89" s="151"/>
      <c r="AA89" s="151"/>
      <c r="AB89" s="473"/>
    </row>
    <row r="90" spans="1:28" s="262" customFormat="1" ht="24" hidden="1" customHeight="1" outlineLevel="1" x14ac:dyDescent="0.25">
      <c r="A90" s="458"/>
      <c r="B90" s="2306">
        <v>2</v>
      </c>
      <c r="C90" s="2306">
        <v>1</v>
      </c>
      <c r="D90" s="2309">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hidden="1" customHeight="1" outlineLevel="1" x14ac:dyDescent="0.25">
      <c r="A91" s="458"/>
      <c r="B91" s="2307"/>
      <c r="C91" s="2308"/>
      <c r="D91" s="2310"/>
      <c r="E91" s="882"/>
      <c r="F91" s="1694" t="s">
        <v>338</v>
      </c>
      <c r="G91" s="1695">
        <v>5</v>
      </c>
      <c r="H91" s="1696">
        <v>0.35</v>
      </c>
      <c r="I91" s="1516"/>
      <c r="J91" s="1697">
        <f>$L$32*H91*$B$90*$C$90</f>
        <v>171.76986792522231</v>
      </c>
      <c r="K91" s="1698">
        <f>$M$32*H91*$B$90*$C$90</f>
        <v>14.314155660435192</v>
      </c>
      <c r="L91" s="1697">
        <f>J91*$D$90</f>
        <v>206.12384151026677</v>
      </c>
      <c r="M91" s="1698">
        <f>K91*$D$90</f>
        <v>17.176986792522229</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hidden="1" customHeight="1" outlineLevel="1" x14ac:dyDescent="0.25">
      <c r="A92" s="458"/>
      <c r="B92" s="2307"/>
      <c r="C92" s="2308"/>
      <c r="D92" s="2310"/>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hidden="1" customHeight="1" outlineLevel="1" x14ac:dyDescent="0.25">
      <c r="A93" s="458"/>
      <c r="B93" s="2307"/>
      <c r="C93" s="2308"/>
      <c r="D93" s="2310"/>
      <c r="E93" s="882"/>
      <c r="F93" s="1694">
        <f>G91</f>
        <v>5</v>
      </c>
      <c r="G93" s="1695">
        <v>30</v>
      </c>
      <c r="H93" s="1696">
        <v>0.05</v>
      </c>
      <c r="I93" s="1516"/>
      <c r="J93" s="1697">
        <f>$L$32*(H91+(G93-F93)*H93)*$B$90*$C$90</f>
        <v>785.23368194387353</v>
      </c>
      <c r="K93" s="1698">
        <f>$M$32*(H91+(G93-F93)*H93)*$B$90*$C$90</f>
        <v>65.436140161989456</v>
      </c>
      <c r="L93" s="1697">
        <f t="shared" ref="L93:M96" si="5">J93*$D$90</f>
        <v>942.2804183326482</v>
      </c>
      <c r="M93" s="1698">
        <f t="shared" si="5"/>
        <v>78.523368194387345</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hidden="1" customHeight="1" outlineLevel="1" x14ac:dyDescent="0.25">
      <c r="A94" s="458"/>
      <c r="B94" s="2307"/>
      <c r="C94" s="2308"/>
      <c r="D94" s="2310"/>
      <c r="E94" s="882"/>
      <c r="F94" s="1694">
        <f>G93</f>
        <v>30</v>
      </c>
      <c r="G94" s="1695">
        <v>100</v>
      </c>
      <c r="H94" s="1696">
        <v>0.03</v>
      </c>
      <c r="I94" s="1516"/>
      <c r="J94" s="1697">
        <f>$L$32*(H91+(G93-F93)*H93+(G94-F94)*H94)*$B$90*$C$90</f>
        <v>1815.8528894952076</v>
      </c>
      <c r="K94" s="1698">
        <f>$M$32*(H91+(G93-F93)*H93+(G94-F94)*H94)*$B$90*$C$90</f>
        <v>151.32107412460061</v>
      </c>
      <c r="L94" s="1697">
        <f t="shared" si="5"/>
        <v>2179.0234673942491</v>
      </c>
      <c r="M94" s="1698">
        <f t="shared" si="5"/>
        <v>181.58528894952073</v>
      </c>
      <c r="N94" s="458"/>
      <c r="O94" s="887">
        <v>4</v>
      </c>
      <c r="P94" s="467"/>
      <c r="Q94" s="286">
        <f>O94*$Q$76*M94+O94*(1-$Q$76)*K94</f>
        <v>665.81272614824275</v>
      </c>
      <c r="R94" s="458"/>
      <c r="S94" s="891">
        <f>IF(AND(Q94&lt;&gt;0,O94&lt;&gt;0),Q94/(1+$D$17+$D$18+$D$19)/O94/30/(($D$25*1000000/$D$8))*1000,0)</f>
        <v>18.477095396772764</v>
      </c>
      <c r="T94" s="467" t="s">
        <v>382</v>
      </c>
      <c r="U94" s="870">
        <f>S94*O94*30*$D$11*(1+$D$24)/1000</f>
        <v>348.79358671119599</v>
      </c>
      <c r="V94" s="458" t="s">
        <v>383</v>
      </c>
      <c r="W94" s="870">
        <f>IF(O94&lt;&gt;0,U94/O94,0)</f>
        <v>87.198396677798996</v>
      </c>
      <c r="X94" s="467" t="s">
        <v>383</v>
      </c>
      <c r="Y94" s="265" t="str">
        <f>IF(O94=0,"-",IF(AND(((F94*(1-$Y$89))&lt;W94),(W94&lt;(G94*(1+$Y$89)))),"OK", "NOK"))</f>
        <v>OK</v>
      </c>
      <c r="Z94" s="151"/>
      <c r="AA94" s="249">
        <f>IF(OR(Y94="OK",Y94="-"),1,0)</f>
        <v>1</v>
      </c>
      <c r="AB94" s="473"/>
    </row>
    <row r="95" spans="1:28" s="262" customFormat="1" ht="24" hidden="1" customHeight="1" outlineLevel="1" x14ac:dyDescent="0.25">
      <c r="A95" s="458"/>
      <c r="B95" s="2307"/>
      <c r="C95" s="2308"/>
      <c r="D95" s="2310"/>
      <c r="E95" s="882"/>
      <c r="F95" s="1694">
        <f>G94</f>
        <v>100</v>
      </c>
      <c r="G95" s="1695">
        <v>500</v>
      </c>
      <c r="H95" s="1696">
        <v>0.02</v>
      </c>
      <c r="I95" s="1516"/>
      <c r="J95" s="1697">
        <f>$L$32*(H91+(G93-F93)*H93+(G94-F94)*H94+(G95-F95)*H95)*$B$90*$C$90</f>
        <v>5742.0212992145744</v>
      </c>
      <c r="K95" s="1698">
        <f>$M$32*(H91+(G93-F93)*H93+(G94-F94)*H94+(G95-F95)*H95)*$B$90*$C$90</f>
        <v>478.50177493454783</v>
      </c>
      <c r="L95" s="1697">
        <f t="shared" si="5"/>
        <v>6890.4255590574894</v>
      </c>
      <c r="M95" s="1698">
        <f t="shared" si="5"/>
        <v>574.20212992145741</v>
      </c>
      <c r="N95" s="458"/>
      <c r="O95" s="887">
        <v>1</v>
      </c>
      <c r="P95" s="467"/>
      <c r="Q95" s="286">
        <f>O95*$Q$76*M95+O95*(1-$Q$76)*K95</f>
        <v>526.35195242800262</v>
      </c>
      <c r="R95" s="458"/>
      <c r="S95" s="891">
        <f>IF(AND(Q95&lt;&gt;0,O95&lt;&gt;0),Q95/(1+$D$17+$D$18+$D$19)/O95/30/(($D$25*1000000/$D$8))*1000,0)</f>
        <v>58.427571930335489</v>
      </c>
      <c r="T95" s="467" t="s">
        <v>382</v>
      </c>
      <c r="U95" s="870">
        <f>S95*O95*30*$D$11*(1+$D$24)/1000</f>
        <v>275.7354705757428</v>
      </c>
      <c r="V95" s="458" t="s">
        <v>383</v>
      </c>
      <c r="W95" s="870">
        <f>IF(O95&lt;&gt;0,U95/O95,0)</f>
        <v>275.7354705757428</v>
      </c>
      <c r="X95" s="467" t="s">
        <v>383</v>
      </c>
      <c r="Y95" s="265" t="str">
        <f>IF(O95=0,"-",IF(AND(((F95*(1-$Y$89))&lt;W95),(W95&lt;(G95*(1+$Y$89)))),"OK", "NOK"))</f>
        <v>OK</v>
      </c>
      <c r="Z95" s="151"/>
      <c r="AA95" s="249">
        <f>IF(OR(Y95="OK",Y95="-"),1,0)</f>
        <v>1</v>
      </c>
      <c r="AB95" s="473"/>
    </row>
    <row r="96" spans="1:28" s="262" customFormat="1" ht="24" hidden="1" customHeight="1" outlineLevel="1" x14ac:dyDescent="0.25">
      <c r="A96" s="458"/>
      <c r="B96" s="2307"/>
      <c r="C96" s="2308"/>
      <c r="D96" s="2310"/>
      <c r="E96" s="882"/>
      <c r="F96" s="1694">
        <f>G95</f>
        <v>500</v>
      </c>
      <c r="G96" s="1695">
        <v>1000</v>
      </c>
      <c r="H96" s="1696">
        <v>0.01</v>
      </c>
      <c r="I96" s="1516"/>
      <c r="J96" s="1697">
        <f>$L$32*(H91+(G93-F93)*H93+(G94-F94)*H94+(G95-F95)*H95+(G96-F96)*H96)*$B$90*$C$90</f>
        <v>8195.87655528918</v>
      </c>
      <c r="K96" s="1698">
        <f>$M$32*(H91+(G93-F93)*H93+(G94-F94)*H94+(G95-F95)*H95+(G96-F96)*H96)*$B$90*$C$90</f>
        <v>682.98971294076489</v>
      </c>
      <c r="L96" s="1697">
        <f t="shared" si="5"/>
        <v>9835.0518663470157</v>
      </c>
      <c r="M96" s="1698">
        <f t="shared" si="5"/>
        <v>819.58765552891782</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hidden="1" customHeight="1" outlineLevel="1" x14ac:dyDescent="0.25">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25">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25">
      <c r="A99" s="65"/>
      <c r="H99" s="66"/>
      <c r="J99" s="66"/>
      <c r="K99" s="66"/>
      <c r="L99" s="66"/>
      <c r="M99" s="66"/>
      <c r="T99" s="55"/>
      <c r="U99" s="67"/>
      <c r="V99" s="55"/>
    </row>
    <row r="100" spans="1:28" ht="14.25" customHeight="1" x14ac:dyDescent="0.25">
      <c r="A100" s="65"/>
      <c r="H100" s="66"/>
      <c r="J100" s="66"/>
      <c r="K100" s="66"/>
      <c r="L100" s="66"/>
      <c r="M100" s="66"/>
      <c r="T100" s="55"/>
      <c r="U100" s="67"/>
      <c r="V100" s="55"/>
    </row>
    <row r="101" spans="1:28" ht="14.25" customHeight="1" x14ac:dyDescent="0.25">
      <c r="A101" s="65"/>
      <c r="H101" s="66"/>
      <c r="J101" s="66"/>
      <c r="K101" s="66"/>
      <c r="L101" s="66"/>
      <c r="M101" s="66"/>
      <c r="T101" s="55"/>
      <c r="U101" s="67"/>
      <c r="V101" s="55"/>
    </row>
    <row r="102" spans="1:28" ht="14.25" customHeight="1" x14ac:dyDescent="0.25">
      <c r="A102" s="65"/>
      <c r="H102" s="66"/>
      <c r="J102" s="66"/>
      <c r="K102" s="66"/>
      <c r="L102" s="66"/>
      <c r="M102" s="66"/>
      <c r="T102" s="55"/>
      <c r="U102" s="67"/>
      <c r="V102" s="55"/>
    </row>
    <row r="103" spans="1:28" ht="14.25" customHeight="1" x14ac:dyDescent="0.25">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5" customWidth="1"/>
    <col min="2" max="2" width="55.7109375" style="65" customWidth="1"/>
    <col min="3" max="3" width="10.7109375" style="65" customWidth="1"/>
    <col min="4" max="4" width="11.140625" style="65" bestFit="1" customWidth="1"/>
    <col min="5" max="5" width="18.28515625" style="65" customWidth="1"/>
    <col min="6" max="8" width="23.28515625" style="65" customWidth="1"/>
    <col min="9" max="9" width="10.7109375" style="65" customWidth="1"/>
    <col min="10" max="10" width="15.7109375" style="65" customWidth="1"/>
    <col min="11" max="12" width="18.28515625" style="65" customWidth="1"/>
    <col min="13" max="13" width="10.42578125" style="65" customWidth="1"/>
    <col min="14" max="14" width="15.42578125" style="65" customWidth="1"/>
    <col min="15" max="15" width="18.42578125" style="65" customWidth="1"/>
    <col min="16" max="16" width="14.7109375" style="65" customWidth="1"/>
    <col min="17" max="17" width="11.42578125" style="65" customWidth="1"/>
    <col min="18" max="18" width="13.28515625" style="65" customWidth="1"/>
    <col min="19" max="52" width="11.42578125" style="65" customWidth="1"/>
    <col min="53" max="54" width="10.42578125" style="65" customWidth="1"/>
    <col min="55" max="55" width="10.28515625" style="65" customWidth="1"/>
    <col min="56" max="58" width="8.42578125" style="65" customWidth="1"/>
    <col min="59" max="16384" width="14.42578125" style="65"/>
  </cols>
  <sheetData>
    <row r="1" spans="1:20" ht="4.9000000000000004" customHeight="1" x14ac:dyDescent="0.25">
      <c r="A1" s="65" t="s">
        <v>1099</v>
      </c>
      <c r="E1" s="1588"/>
      <c r="F1" s="1588"/>
      <c r="G1" s="1588"/>
      <c r="H1" s="1588"/>
      <c r="I1" s="1588"/>
      <c r="J1" s="1588"/>
      <c r="K1" s="1588"/>
      <c r="L1" s="1588"/>
      <c r="M1" s="1588"/>
      <c r="N1" s="1588"/>
      <c r="O1" s="1588"/>
      <c r="P1" s="1588"/>
      <c r="Q1" s="1588"/>
      <c r="R1" s="1589"/>
      <c r="S1" s="1588"/>
    </row>
    <row r="2" spans="1:20" s="206" customFormat="1" ht="25.15" customHeight="1" x14ac:dyDescent="0.25">
      <c r="B2" s="2355" t="s">
        <v>869</v>
      </c>
      <c r="C2" s="2355"/>
      <c r="D2" s="2355"/>
      <c r="F2" s="293"/>
      <c r="G2" s="293"/>
      <c r="H2" s="293"/>
      <c r="I2" s="1591" t="s">
        <v>473</v>
      </c>
      <c r="J2" s="1592"/>
      <c r="K2" s="1592"/>
      <c r="L2" s="293"/>
      <c r="M2" s="1729"/>
      <c r="N2" s="1730"/>
      <c r="O2" s="293"/>
      <c r="P2" s="293"/>
      <c r="Q2" s="293"/>
      <c r="R2" s="293"/>
      <c r="S2" s="293"/>
      <c r="T2" s="293"/>
    </row>
    <row r="3" spans="1:20" s="206" customFormat="1" ht="19.899999999999999" customHeight="1" x14ac:dyDescent="0.25">
      <c r="B3" s="2355"/>
      <c r="C3" s="2355"/>
      <c r="D3" s="2355"/>
      <c r="F3" s="293"/>
      <c r="G3" s="293"/>
      <c r="H3" s="293"/>
      <c r="I3" s="1592" t="str">
        <f>Apresentação!I2</f>
        <v>RC-RSU V.1.0 - 15/10/2020</v>
      </c>
      <c r="J3" s="1592"/>
      <c r="K3" s="1592"/>
      <c r="L3" s="293"/>
      <c r="M3" s="1708"/>
      <c r="N3" s="1731"/>
      <c r="O3" s="293"/>
      <c r="P3" s="293"/>
      <c r="Q3" s="293"/>
      <c r="R3" s="293"/>
      <c r="S3" s="293"/>
      <c r="T3" s="293"/>
    </row>
    <row r="4" spans="1:20" s="206" customFormat="1" ht="19.899999999999999" customHeight="1" x14ac:dyDescent="0.25">
      <c r="B4" s="2355"/>
      <c r="C4" s="2355"/>
      <c r="D4" s="2355"/>
      <c r="F4" s="1469"/>
      <c r="G4" s="1469"/>
      <c r="H4" s="1469"/>
      <c r="I4" s="1469"/>
      <c r="J4" s="1469"/>
      <c r="K4" s="1469"/>
      <c r="L4" s="1469"/>
      <c r="M4" s="1708"/>
      <c r="N4" s="1732"/>
      <c r="O4" s="1469"/>
      <c r="P4" s="1469"/>
      <c r="Q4" s="1469"/>
      <c r="R4" s="1469"/>
      <c r="S4" s="1469"/>
      <c r="T4" s="293"/>
    </row>
    <row r="5" spans="1:20" s="206" customFormat="1" ht="12.4" customHeight="1" thickBot="1" x14ac:dyDescent="0.3">
      <c r="F5" s="1469"/>
      <c r="G5" s="1469"/>
      <c r="H5" s="1469"/>
      <c r="I5" s="1469"/>
      <c r="J5" s="1469"/>
      <c r="K5" s="1469"/>
      <c r="L5" s="1469"/>
      <c r="M5" s="1469"/>
      <c r="N5" s="1469"/>
      <c r="O5" s="1469"/>
      <c r="P5" s="1469"/>
      <c r="Q5" s="1469"/>
      <c r="R5" s="1469"/>
      <c r="S5" s="1593"/>
      <c r="T5" s="293"/>
    </row>
    <row r="6" spans="1:20" s="1488" customFormat="1" ht="19.899999999999999" customHeight="1" thickTop="1" thickBot="1" x14ac:dyDescent="0.3">
      <c r="B6" s="1934" t="s">
        <v>870</v>
      </c>
      <c r="C6" s="1946" t="s">
        <v>1101</v>
      </c>
      <c r="D6" s="1977" t="s">
        <v>1100</v>
      </c>
      <c r="E6" s="1484"/>
      <c r="F6" s="2352" t="s">
        <v>389</v>
      </c>
      <c r="G6" s="2353"/>
      <c r="H6" s="2354"/>
      <c r="I6" s="1485"/>
      <c r="J6" s="1485"/>
      <c r="K6" s="1485"/>
      <c r="L6" s="1485"/>
      <c r="M6" s="1485"/>
      <c r="N6" s="1485"/>
      <c r="O6" s="1485"/>
      <c r="P6" s="1485"/>
      <c r="Q6" s="1485"/>
      <c r="R6" s="1485"/>
      <c r="S6" s="1486"/>
      <c r="T6" s="1487"/>
    </row>
    <row r="7" spans="1:20" s="1490" customFormat="1" ht="19.899999999999999" customHeight="1" outlineLevel="1" thickTop="1" thickBot="1" x14ac:dyDescent="0.3">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649999999999999" customHeight="1" outlineLevel="1" thickTop="1" x14ac:dyDescent="0.25">
      <c r="B8" s="1923" t="s">
        <v>660</v>
      </c>
      <c r="C8" s="1948">
        <f>'R&amp;C-Painel de Controle'!D27</f>
        <v>4.7000000000000002E-3</v>
      </c>
      <c r="D8" s="1929">
        <f>C8</f>
        <v>4.7000000000000002E-3</v>
      </c>
      <c r="E8" s="206" t="s">
        <v>195</v>
      </c>
      <c r="F8" s="1963" t="s">
        <v>393</v>
      </c>
      <c r="G8" s="1964">
        <f>SUMIF(C33:BC33,1,C159:BC159)</f>
        <v>5.1514348342607263E-14</v>
      </c>
      <c r="H8" s="1965">
        <f>SUMIF(C33:BC33,1,C178:BC178)</f>
        <v>4.6185277824406512E-14</v>
      </c>
      <c r="I8" s="293"/>
      <c r="J8" s="293"/>
      <c r="K8" s="293"/>
      <c r="L8" s="293"/>
      <c r="M8" s="293"/>
      <c r="N8" s="293"/>
      <c r="O8" s="293"/>
      <c r="P8" s="293"/>
      <c r="Q8" s="293"/>
      <c r="R8" s="293"/>
      <c r="S8" s="295"/>
      <c r="T8" s="293"/>
    </row>
    <row r="9" spans="1:20" s="206" customFormat="1" ht="17.649999999999999" customHeight="1" outlineLevel="1" x14ac:dyDescent="0.25">
      <c r="B9" s="1923" t="s">
        <v>392</v>
      </c>
      <c r="C9" s="1949">
        <v>0</v>
      </c>
      <c r="D9" s="1930">
        <f>C9</f>
        <v>0</v>
      </c>
      <c r="F9" s="1966" t="s">
        <v>394</v>
      </c>
      <c r="G9" s="1967">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-1.3322676295501878E-15</v>
      </c>
      <c r="H9" s="1968">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0.26309959438654507</v>
      </c>
      <c r="I9" s="296"/>
      <c r="J9" s="296"/>
      <c r="K9" s="293"/>
      <c r="L9" s="293"/>
      <c r="M9" s="293"/>
      <c r="N9" s="293"/>
      <c r="O9" s="293"/>
      <c r="P9" s="293"/>
      <c r="Q9" s="293"/>
      <c r="R9" s="293"/>
      <c r="S9" s="295"/>
      <c r="T9" s="293"/>
    </row>
    <row r="10" spans="1:20" s="206" customFormat="1" ht="17.649999999999999" customHeight="1" outlineLevel="1" x14ac:dyDescent="0.25">
      <c r="B10" s="1923" t="s">
        <v>1006</v>
      </c>
      <c r="C10" s="1950">
        <v>0.05</v>
      </c>
      <c r="D10" s="1931">
        <f>C10</f>
        <v>0.05</v>
      </c>
      <c r="E10" s="206" t="s">
        <v>195</v>
      </c>
      <c r="F10" s="1966" t="s">
        <v>395</v>
      </c>
      <c r="G10" s="1967">
        <f>G9-C28</f>
        <v>-9.7400000000001333E-2</v>
      </c>
      <c r="H10" s="1968">
        <f>H9-C28</f>
        <v>0.16569959438654508</v>
      </c>
      <c r="I10" s="293"/>
      <c r="J10" s="298"/>
      <c r="K10" s="293"/>
      <c r="L10" s="293"/>
      <c r="M10" s="293"/>
      <c r="N10" s="293"/>
      <c r="O10" s="293"/>
      <c r="P10" s="293"/>
      <c r="Q10" s="293"/>
      <c r="R10" s="293"/>
      <c r="S10" s="295"/>
      <c r="T10" s="293"/>
    </row>
    <row r="11" spans="1:20" s="206" customFormat="1" ht="19.899999999999999" customHeight="1" outlineLevel="1" thickBot="1" x14ac:dyDescent="0.3">
      <c r="B11" s="1923" t="s">
        <v>1007</v>
      </c>
      <c r="C11" s="1950">
        <v>0.12</v>
      </c>
      <c r="D11" s="1931">
        <f>C11</f>
        <v>0.12</v>
      </c>
      <c r="E11" s="206" t="s">
        <v>195</v>
      </c>
      <c r="F11" s="1966" t="s">
        <v>396</v>
      </c>
      <c r="G11" s="1969">
        <f>SUMIF(C33:BC33,1,C63:BC63)</f>
        <v>205.38278905364507</v>
      </c>
      <c r="H11" s="1970">
        <f>SUMIF(C33:BC33,1,C63:BC63)</f>
        <v>205.38278905364507</v>
      </c>
      <c r="I11" s="298"/>
      <c r="J11" s="298"/>
      <c r="K11" s="293"/>
      <c r="L11" s="293"/>
      <c r="M11" s="293"/>
      <c r="N11" s="293"/>
      <c r="O11" s="293"/>
      <c r="P11" s="293"/>
      <c r="Q11" s="293"/>
      <c r="R11" s="293"/>
      <c r="S11" s="295"/>
      <c r="T11" s="293"/>
    </row>
    <row r="12" spans="1:20" s="206" customFormat="1" ht="19.899999999999999" customHeight="1" outlineLevel="1" thickTop="1" thickBot="1" x14ac:dyDescent="0.3">
      <c r="B12" s="1924" t="s">
        <v>871</v>
      </c>
      <c r="C12" s="1951" t="s">
        <v>1101</v>
      </c>
      <c r="D12" s="1979" t="s">
        <v>1100</v>
      </c>
      <c r="F12" s="1966" t="s">
        <v>397</v>
      </c>
      <c r="G12" s="1967">
        <f>G8/G11</f>
        <v>2.5082115487852271E-16</v>
      </c>
      <c r="H12" s="1968">
        <f>H8/H11</f>
        <v>2.2487413885660655E-16</v>
      </c>
      <c r="I12" s="298"/>
      <c r="J12" s="298"/>
      <c r="K12" s="293"/>
      <c r="L12" s="293"/>
      <c r="M12" s="293"/>
      <c r="N12" s="293"/>
      <c r="O12" s="293"/>
      <c r="P12" s="293"/>
      <c r="Q12" s="293"/>
      <c r="R12" s="293"/>
      <c r="S12" s="295"/>
      <c r="T12" s="293"/>
    </row>
    <row r="13" spans="1:20" s="206" customFormat="1" ht="17.649999999999999" customHeight="1" outlineLevel="1" x14ac:dyDescent="0.25">
      <c r="B13" s="1925" t="s">
        <v>496</v>
      </c>
      <c r="C13" s="1952" t="s">
        <v>289</v>
      </c>
      <c r="D13" s="1978" t="s">
        <v>289</v>
      </c>
      <c r="F13" s="1971" t="s">
        <v>398</v>
      </c>
      <c r="G13" s="1972">
        <f>IF(G8&lt;0,SUM(C164:BC164),SUM(C164:BC164))</f>
        <v>34.999999999999986</v>
      </c>
      <c r="H13" s="1973">
        <f>IF(H8&lt;0,SUM(C183:BC183),SUM(C183:BC183))</f>
        <v>35.234385344353349</v>
      </c>
      <c r="I13" s="296"/>
      <c r="J13" s="296"/>
      <c r="K13" s="293"/>
      <c r="L13" s="293"/>
      <c r="M13" s="293"/>
      <c r="N13" s="293"/>
      <c r="O13" s="293"/>
      <c r="P13" s="293"/>
      <c r="Q13" s="293"/>
      <c r="R13" s="293"/>
      <c r="S13" s="295"/>
      <c r="T13" s="293"/>
    </row>
    <row r="14" spans="1:20" s="206" customFormat="1" ht="19.899999999999999" customHeight="1" outlineLevel="1" thickBot="1" x14ac:dyDescent="0.3">
      <c r="B14" s="1943" t="s">
        <v>661</v>
      </c>
      <c r="C14" s="1953">
        <v>0.7</v>
      </c>
      <c r="D14" s="1945">
        <v>0.3</v>
      </c>
      <c r="E14" s="206" t="s">
        <v>195</v>
      </c>
      <c r="F14" s="1974" t="s">
        <v>662</v>
      </c>
      <c r="G14" s="1975">
        <f>(SUMIF(C33:BC33,1,C159:BC159)+SUMIF(C33:BC33,1,C63:BC63))/SUMIF(C33:BC33,1,C63:BC63)</f>
        <v>1.0000000000000002</v>
      </c>
      <c r="H14" s="1976">
        <f>(SUMIF(C33:BC33,1,C178:BC178)+SUMIF(C33:BC33,1,C63:BC63))/SUMIF(C33:BC33,1,C63:BC63)</f>
        <v>1.0000000000000002</v>
      </c>
      <c r="I14" s="296"/>
      <c r="J14" s="296"/>
      <c r="K14" s="293"/>
      <c r="L14" s="293"/>
      <c r="M14" s="293"/>
      <c r="N14" s="293"/>
      <c r="O14" s="293"/>
      <c r="P14" s="293"/>
      <c r="Q14" s="293"/>
      <c r="R14" s="293"/>
      <c r="S14" s="295"/>
      <c r="T14" s="293"/>
    </row>
    <row r="15" spans="1:20" s="206" customFormat="1" ht="4.9000000000000004" customHeight="1" outlineLevel="1" thickTop="1" thickBot="1" x14ac:dyDescent="0.3">
      <c r="B15" s="1918"/>
      <c r="C15" s="1954"/>
      <c r="D15" s="1932"/>
      <c r="F15" s="1466"/>
      <c r="G15" s="1467"/>
      <c r="H15" s="1468"/>
      <c r="I15" s="296"/>
      <c r="J15" s="296"/>
      <c r="K15" s="293"/>
      <c r="L15" s="293"/>
      <c r="M15" s="293"/>
      <c r="N15" s="293"/>
      <c r="O15" s="293"/>
      <c r="P15" s="293"/>
      <c r="Q15" s="293"/>
      <c r="R15" s="293"/>
      <c r="S15" s="295"/>
      <c r="T15" s="293"/>
    </row>
    <row r="16" spans="1:20" s="1494" customFormat="1" ht="40.15" customHeight="1" outlineLevel="1" thickTop="1" thickBot="1" x14ac:dyDescent="0.3">
      <c r="B16" s="1926" t="s">
        <v>764</v>
      </c>
      <c r="C16" s="2005">
        <v>0.125</v>
      </c>
      <c r="D16" s="2006">
        <v>0.125</v>
      </c>
      <c r="E16" s="206" t="s">
        <v>399</v>
      </c>
      <c r="F16" s="2366" t="s">
        <v>872</v>
      </c>
      <c r="G16" s="1986" t="s">
        <v>310</v>
      </c>
      <c r="H16" s="1987" t="s">
        <v>400</v>
      </c>
      <c r="I16" s="1936"/>
      <c r="J16" s="1935"/>
      <c r="K16" s="1495"/>
      <c r="L16" s="1495"/>
      <c r="M16" s="1495"/>
      <c r="N16" s="1495"/>
      <c r="O16" s="1495"/>
      <c r="P16" s="1495"/>
      <c r="Q16" s="1495"/>
      <c r="R16" s="1495"/>
      <c r="S16" s="1496"/>
      <c r="T16" s="1495"/>
    </row>
    <row r="17" spans="1:58" s="206" customFormat="1" ht="17.649999999999999" customHeight="1" outlineLevel="1" thickTop="1" x14ac:dyDescent="0.25">
      <c r="B17" s="1927" t="s">
        <v>874</v>
      </c>
      <c r="C17" s="1955" t="s">
        <v>289</v>
      </c>
      <c r="D17" s="1980" t="s">
        <v>289</v>
      </c>
      <c r="E17" s="1494"/>
      <c r="F17" s="2367"/>
      <c r="G17" s="2370" t="s">
        <v>873</v>
      </c>
      <c r="H17" s="2372"/>
      <c r="I17" s="1937"/>
      <c r="J17" s="1938"/>
      <c r="K17" s="293"/>
      <c r="L17" s="293"/>
      <c r="M17" s="293"/>
      <c r="N17" s="293"/>
      <c r="O17" s="293"/>
      <c r="P17" s="293"/>
      <c r="Q17" s="293"/>
      <c r="R17" s="293"/>
      <c r="S17" s="295"/>
      <c r="T17" s="293"/>
    </row>
    <row r="18" spans="1:58" s="206" customFormat="1" ht="17.649999999999999" customHeight="1" outlineLevel="1" x14ac:dyDescent="0.25">
      <c r="B18" s="1923" t="s">
        <v>663</v>
      </c>
      <c r="C18" s="1956">
        <f>1-C14</f>
        <v>0.30000000000000004</v>
      </c>
      <c r="D18" s="2097">
        <f>1-D14</f>
        <v>0.7</v>
      </c>
      <c r="E18" s="206" t="s">
        <v>195</v>
      </c>
      <c r="F18" s="2367"/>
      <c r="G18" s="2371"/>
      <c r="H18" s="2373"/>
      <c r="I18" s="1941"/>
      <c r="J18" s="1469"/>
      <c r="K18" s="293"/>
      <c r="L18" s="293"/>
      <c r="M18" s="293"/>
      <c r="N18" s="293"/>
      <c r="O18" s="293"/>
      <c r="P18" s="293"/>
      <c r="Q18" s="293"/>
      <c r="R18" s="293"/>
      <c r="S18" s="295"/>
    </row>
    <row r="19" spans="1:58" s="206" customFormat="1" ht="2.65" customHeight="1" outlineLevel="1" x14ac:dyDescent="0.25">
      <c r="B19" s="1918"/>
      <c r="C19" s="1954"/>
      <c r="D19" s="1932"/>
      <c r="F19" s="2367"/>
      <c r="G19" s="1921"/>
      <c r="H19" s="1983"/>
      <c r="I19" s="1942"/>
      <c r="J19" s="293"/>
      <c r="K19" s="293"/>
      <c r="L19" s="293"/>
      <c r="M19" s="293"/>
      <c r="N19" s="293"/>
      <c r="O19" s="293"/>
      <c r="P19" s="293"/>
      <c r="Q19" s="293"/>
      <c r="R19" s="293"/>
      <c r="S19" s="295"/>
    </row>
    <row r="20" spans="1:58" s="206" customFormat="1" ht="17.649999999999999" customHeight="1" outlineLevel="1" x14ac:dyDescent="0.25">
      <c r="B20" s="1923" t="s">
        <v>765</v>
      </c>
      <c r="C20" s="2003" t="s">
        <v>1104</v>
      </c>
      <c r="D20" s="2004" t="s">
        <v>1104</v>
      </c>
      <c r="F20" s="2367"/>
      <c r="G20" s="1473">
        <v>0.05</v>
      </c>
      <c r="H20" s="1474">
        <v>4.3499999999999997E-2</v>
      </c>
      <c r="I20" s="1939"/>
      <c r="J20" s="1469"/>
      <c r="K20" s="293"/>
      <c r="L20" s="293"/>
      <c r="M20" s="293"/>
      <c r="N20" s="293"/>
      <c r="O20" s="293"/>
      <c r="P20" s="293"/>
      <c r="Q20" s="293"/>
      <c r="R20" s="293"/>
      <c r="S20" s="295"/>
      <c r="T20" s="293"/>
    </row>
    <row r="21" spans="1:58" s="206" customFormat="1" ht="17.649999999999999" customHeight="1" outlineLevel="1" x14ac:dyDescent="0.25">
      <c r="B21" s="1943" t="s">
        <v>664</v>
      </c>
      <c r="C21" s="1957">
        <v>0.05</v>
      </c>
      <c r="D21" s="2095">
        <v>0.05</v>
      </c>
      <c r="E21" s="206" t="s">
        <v>399</v>
      </c>
      <c r="F21" s="2367"/>
      <c r="G21" s="1475">
        <v>20</v>
      </c>
      <c r="H21" s="1476">
        <v>20</v>
      </c>
      <c r="I21" s="1940"/>
      <c r="J21" s="1469"/>
      <c r="K21" s="293"/>
      <c r="L21" s="293"/>
      <c r="M21" s="293"/>
      <c r="N21" s="293"/>
      <c r="O21" s="293"/>
      <c r="P21" s="293"/>
      <c r="Q21" s="293"/>
      <c r="R21" s="293"/>
      <c r="S21" s="295"/>
      <c r="T21" s="293"/>
    </row>
    <row r="22" spans="1:58" s="206" customFormat="1" ht="17.649999999999999" customHeight="1" outlineLevel="1" x14ac:dyDescent="0.25">
      <c r="B22" s="1944" t="s">
        <v>665</v>
      </c>
      <c r="C22" s="1958">
        <v>20</v>
      </c>
      <c r="D22" s="2096">
        <v>20</v>
      </c>
      <c r="E22" s="206" t="s">
        <v>388</v>
      </c>
      <c r="F22" s="2367"/>
      <c r="G22" s="1475">
        <v>2</v>
      </c>
      <c r="H22" s="1476">
        <v>2</v>
      </c>
      <c r="I22" s="1940"/>
      <c r="J22" s="1469"/>
      <c r="K22" s="293"/>
      <c r="L22" s="293"/>
      <c r="M22" s="293"/>
      <c r="N22" s="293"/>
      <c r="O22" s="293"/>
      <c r="P22" s="293"/>
      <c r="Q22" s="293"/>
      <c r="R22" s="293"/>
      <c r="S22" s="295"/>
      <c r="T22" s="293"/>
    </row>
    <row r="23" spans="1:58" s="206" customFormat="1" ht="17.649999999999999" customHeight="1" outlineLevel="1" thickBot="1" x14ac:dyDescent="0.3">
      <c r="B23" s="1944" t="s">
        <v>666</v>
      </c>
      <c r="C23" s="1958">
        <v>2</v>
      </c>
      <c r="D23" s="2096">
        <v>2</v>
      </c>
      <c r="E23" s="206" t="s">
        <v>388</v>
      </c>
      <c r="F23" s="2368"/>
      <c r="G23" s="1477">
        <v>4.3499999999999997E-2</v>
      </c>
      <c r="H23" s="1478">
        <v>4.3499999999999997E-2</v>
      </c>
      <c r="I23" s="1939"/>
      <c r="J23" s="1469"/>
      <c r="K23" s="293"/>
      <c r="L23" s="293"/>
      <c r="M23" s="293"/>
      <c r="N23" s="293"/>
      <c r="O23" s="293"/>
      <c r="P23" s="293"/>
      <c r="Q23" s="293"/>
      <c r="R23" s="293"/>
      <c r="S23" s="295"/>
      <c r="T23" s="293"/>
    </row>
    <row r="24" spans="1:58" s="206" customFormat="1" ht="17.649999999999999" customHeight="1" outlineLevel="1" thickTop="1" thickBot="1" x14ac:dyDescent="0.3">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649999999999999" customHeight="1" outlineLevel="1" thickTop="1" thickBot="1" x14ac:dyDescent="0.3">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649999999999999" customHeight="1" outlineLevel="1" thickTop="1" thickBot="1" x14ac:dyDescent="0.3">
      <c r="B26" s="1928" t="s">
        <v>767</v>
      </c>
      <c r="C26" s="1960">
        <v>0.25</v>
      </c>
      <c r="D26" s="1931">
        <f>C26</f>
        <v>0.25</v>
      </c>
      <c r="E26" s="206" t="s">
        <v>195</v>
      </c>
      <c r="F26" s="2369" t="s">
        <v>1102</v>
      </c>
      <c r="G26" s="2361"/>
      <c r="H26" s="1470">
        <f>'R&amp;C-Painel de Controle'!D33</f>
        <v>237.54494967426146</v>
      </c>
      <c r="I26" s="1608" t="s">
        <v>295</v>
      </c>
      <c r="J26" s="1606"/>
      <c r="K26" s="2360" t="s">
        <v>653</v>
      </c>
      <c r="L26" s="2361"/>
      <c r="M26" s="1471">
        <f>G8</f>
        <v>5.1514348342607263E-14</v>
      </c>
      <c r="N26" s="1608" t="s">
        <v>304</v>
      </c>
      <c r="O26" s="2350" t="s">
        <v>654</v>
      </c>
      <c r="P26" s="2350"/>
      <c r="Q26" s="2351"/>
      <c r="R26" s="1472">
        <f>G14</f>
        <v>1.0000000000000002</v>
      </c>
      <c r="S26" s="1610" t="s">
        <v>195</v>
      </c>
      <c r="T26" s="293"/>
    </row>
    <row r="27" spans="1:58" s="206" customFormat="1" ht="19.899999999999999" customHeight="1" outlineLevel="1" thickTop="1" x14ac:dyDescent="0.25">
      <c r="B27" s="1924" t="s">
        <v>401</v>
      </c>
      <c r="C27" s="1961" t="s">
        <v>289</v>
      </c>
      <c r="D27" s="1981" t="s">
        <v>289</v>
      </c>
      <c r="F27" s="2365" t="s">
        <v>655</v>
      </c>
      <c r="G27" s="2363"/>
      <c r="H27" s="911">
        <f>'R&amp;C-Painel de Controle'!D32</f>
        <v>35</v>
      </c>
      <c r="I27" s="1609" t="s">
        <v>388</v>
      </c>
      <c r="J27" s="1607"/>
      <c r="K27" s="2362" t="s">
        <v>656</v>
      </c>
      <c r="L27" s="2363"/>
      <c r="M27" s="912">
        <f>G9</f>
        <v>-1.3322676295501878E-15</v>
      </c>
      <c r="N27" s="1609" t="s">
        <v>195</v>
      </c>
      <c r="O27" s="1607"/>
      <c r="P27" s="1611"/>
      <c r="Q27" s="1612"/>
      <c r="R27" s="1612"/>
      <c r="S27" s="1613"/>
      <c r="T27" s="293"/>
    </row>
    <row r="28" spans="1:58" s="206" customFormat="1" ht="18" customHeight="1" outlineLevel="1" thickBot="1" x14ac:dyDescent="0.3">
      <c r="B28" s="1928" t="s">
        <v>668</v>
      </c>
      <c r="C28" s="1962">
        <f>C14*C16+C18*C21*(1-(C25+C26))</f>
        <v>9.74E-2</v>
      </c>
      <c r="D28" s="1933">
        <f>D14*D16+D18*D21*(1-(D25+D26))</f>
        <v>6.0600000000000001E-2</v>
      </c>
      <c r="E28" s="206" t="s">
        <v>399</v>
      </c>
      <c r="F28" s="2356" t="s">
        <v>657</v>
      </c>
      <c r="G28" s="2357"/>
      <c r="H28" s="1988">
        <f>H26*('R&amp;C-Painel de Controle'!D7*30/'R&amp;C-Painel de Controle'!D6)</f>
        <v>8.102016388987046</v>
      </c>
      <c r="I28" s="1989" t="s">
        <v>299</v>
      </c>
      <c r="J28" s="1607"/>
      <c r="K28" s="2364" t="s">
        <v>658</v>
      </c>
      <c r="L28" s="2357"/>
      <c r="M28" s="1990">
        <f>G13</f>
        <v>34.999999999999986</v>
      </c>
      <c r="N28" s="1609" t="s">
        <v>388</v>
      </c>
      <c r="O28" s="1607"/>
      <c r="P28" s="1607"/>
      <c r="Q28" s="1607"/>
      <c r="R28" s="1607"/>
      <c r="S28" s="1613"/>
      <c r="T28" s="293"/>
    </row>
    <row r="29" spans="1:58" s="206" customFormat="1" ht="18" customHeight="1" outlineLevel="1" thickTop="1" thickBot="1" x14ac:dyDescent="0.3">
      <c r="B29" s="324"/>
      <c r="F29" s="2358" t="s">
        <v>1103</v>
      </c>
      <c r="G29" s="2359"/>
      <c r="H29" s="1991">
        <f>'R&amp;C-Painel de Controle'!H33</f>
        <v>254.60848243040007</v>
      </c>
      <c r="I29" s="1992" t="s">
        <v>295</v>
      </c>
      <c r="J29" s="1993"/>
      <c r="K29" s="1993"/>
      <c r="L29" s="1993"/>
      <c r="M29" s="1993"/>
      <c r="N29" s="1993"/>
      <c r="O29" s="1993"/>
      <c r="P29" s="1993"/>
      <c r="Q29" s="1993"/>
      <c r="R29" s="1993"/>
      <c r="S29" s="1994"/>
    </row>
    <row r="30" spans="1:58" s="206" customFormat="1" ht="18" customHeight="1" thickTop="1" x14ac:dyDescent="0.25">
      <c r="B30" s="324"/>
      <c r="R30" s="299"/>
    </row>
    <row r="31" spans="1:58" s="206" customFormat="1" ht="27" customHeight="1" x14ac:dyDescent="0.25">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25">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25">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25">
      <c r="B34" s="324"/>
      <c r="C34" s="304">
        <f>AVERAGE(C35:AF35)/312</f>
        <v>501.28384961466395</v>
      </c>
      <c r="D34" s="206">
        <v>1.8092028670075588E+55</v>
      </c>
      <c r="E34" s="301"/>
      <c r="F34" s="301"/>
      <c r="G34" s="302"/>
      <c r="H34" s="300"/>
      <c r="I34" s="303"/>
      <c r="J34" s="303"/>
      <c r="K34" s="303"/>
      <c r="L34" s="300"/>
      <c r="M34" s="300"/>
      <c r="O34" s="294"/>
      <c r="P34" s="294"/>
      <c r="Q34" s="294"/>
      <c r="R34" s="294"/>
      <c r="S34" s="294"/>
    </row>
    <row r="35" spans="1:58" s="206" customFormat="1" ht="34.9" customHeight="1" collapsed="1" x14ac:dyDescent="0.25">
      <c r="B35" s="907" t="s">
        <v>404</v>
      </c>
      <c r="C35" s="304">
        <f>'R&amp;C-Painel de Controle'!D8</f>
        <v>146000</v>
      </c>
      <c r="D35" s="304">
        <f>C35*(1+$C$8)</f>
        <v>146686.19999999998</v>
      </c>
      <c r="E35" s="304">
        <f t="shared" ref="E35:AI35" si="4">D35*(1+$C$8)</f>
        <v>147375.62513999996</v>
      </c>
      <c r="F35" s="304">
        <f t="shared" si="4"/>
        <v>148068.29057815796</v>
      </c>
      <c r="G35" s="304">
        <f t="shared" si="4"/>
        <v>148764.21154387528</v>
      </c>
      <c r="H35" s="304">
        <f t="shared" si="4"/>
        <v>149463.40333813149</v>
      </c>
      <c r="I35" s="304">
        <f t="shared" si="4"/>
        <v>150165.8813338207</v>
      </c>
      <c r="J35" s="304">
        <f t="shared" si="4"/>
        <v>150871.66097608965</v>
      </c>
      <c r="K35" s="304">
        <f t="shared" si="4"/>
        <v>151580.75778267728</v>
      </c>
      <c r="L35" s="304">
        <f t="shared" si="4"/>
        <v>152293.18734425586</v>
      </c>
      <c r="M35" s="304">
        <f t="shared" si="4"/>
        <v>153008.96532477386</v>
      </c>
      <c r="N35" s="304">
        <f t="shared" si="4"/>
        <v>153728.10746180027</v>
      </c>
      <c r="O35" s="304">
        <f t="shared" si="4"/>
        <v>154450.62956687072</v>
      </c>
      <c r="P35" s="304">
        <f t="shared" si="4"/>
        <v>155176.54752583499</v>
      </c>
      <c r="Q35" s="304">
        <f t="shared" si="4"/>
        <v>155905.87729920639</v>
      </c>
      <c r="R35" s="304">
        <f t="shared" si="4"/>
        <v>156638.63492251266</v>
      </c>
      <c r="S35" s="304">
        <f t="shared" si="4"/>
        <v>157374.83650664845</v>
      </c>
      <c r="T35" s="304">
        <f t="shared" si="4"/>
        <v>158114.49823822969</v>
      </c>
      <c r="U35" s="304">
        <f t="shared" si="4"/>
        <v>158857.63637994934</v>
      </c>
      <c r="V35" s="304">
        <f t="shared" si="4"/>
        <v>159604.26727093509</v>
      </c>
      <c r="W35" s="304">
        <f t="shared" si="4"/>
        <v>160354.40732710846</v>
      </c>
      <c r="X35" s="304">
        <f t="shared" si="4"/>
        <v>161108.07304154587</v>
      </c>
      <c r="Y35" s="304">
        <f t="shared" si="4"/>
        <v>161865.28098484111</v>
      </c>
      <c r="Z35" s="304">
        <f t="shared" si="4"/>
        <v>162626.04780546986</v>
      </c>
      <c r="AA35" s="304">
        <f t="shared" si="4"/>
        <v>163390.39023015555</v>
      </c>
      <c r="AB35" s="304">
        <f t="shared" si="4"/>
        <v>164158.32506423726</v>
      </c>
      <c r="AC35" s="304">
        <f t="shared" si="4"/>
        <v>164929.86919203916</v>
      </c>
      <c r="AD35" s="304">
        <f t="shared" si="4"/>
        <v>165705.03957724173</v>
      </c>
      <c r="AE35" s="304">
        <f t="shared" si="4"/>
        <v>166483.85326325474</v>
      </c>
      <c r="AF35" s="304">
        <f t="shared" si="4"/>
        <v>167266.32737359204</v>
      </c>
      <c r="AG35" s="304">
        <f t="shared" si="4"/>
        <v>168052.47911224791</v>
      </c>
      <c r="AH35" s="304">
        <f t="shared" si="4"/>
        <v>168842.32576407547</v>
      </c>
      <c r="AI35" s="304">
        <f t="shared" si="4"/>
        <v>169635.88469516661</v>
      </c>
      <c r="AJ35" s="304">
        <f t="shared" ref="AJ35:BC35" si="5">AI35*(1+$C$8)</f>
        <v>170433.17335323387</v>
      </c>
      <c r="AK35" s="304">
        <f t="shared" si="5"/>
        <v>171234.20926799407</v>
      </c>
      <c r="AL35" s="304">
        <f t="shared" si="5"/>
        <v>172039.01005155363</v>
      </c>
      <c r="AM35" s="304">
        <f t="shared" si="5"/>
        <v>172847.59339879593</v>
      </c>
      <c r="AN35" s="304">
        <f t="shared" si="5"/>
        <v>173659.97708777027</v>
      </c>
      <c r="AO35" s="304">
        <f t="shared" si="5"/>
        <v>174476.17898008277</v>
      </c>
      <c r="AP35" s="304">
        <f t="shared" si="5"/>
        <v>175296.21702128914</v>
      </c>
      <c r="AQ35" s="304">
        <f t="shared" si="5"/>
        <v>176120.10924128917</v>
      </c>
      <c r="AR35" s="304">
        <f t="shared" si="5"/>
        <v>176947.87375472323</v>
      </c>
      <c r="AS35" s="304">
        <f t="shared" si="5"/>
        <v>177779.52876137043</v>
      </c>
      <c r="AT35" s="304">
        <f t="shared" si="5"/>
        <v>178615.09254654887</v>
      </c>
      <c r="AU35" s="304">
        <f t="shared" si="5"/>
        <v>179454.58348151765</v>
      </c>
      <c r="AV35" s="304">
        <f t="shared" si="5"/>
        <v>180298.02002388076</v>
      </c>
      <c r="AW35" s="304">
        <f t="shared" si="5"/>
        <v>181145.42071799299</v>
      </c>
      <c r="AX35" s="304">
        <f t="shared" si="5"/>
        <v>181996.80419536756</v>
      </c>
      <c r="AY35" s="304">
        <f t="shared" si="5"/>
        <v>182852.18917508578</v>
      </c>
      <c r="AZ35" s="304">
        <f t="shared" si="5"/>
        <v>183711.59446420867</v>
      </c>
      <c r="BA35" s="304">
        <f t="shared" si="5"/>
        <v>184575.03895819045</v>
      </c>
      <c r="BB35" s="304">
        <f t="shared" si="5"/>
        <v>185442.54164129394</v>
      </c>
      <c r="BC35" s="304">
        <f t="shared" si="5"/>
        <v>186314.12158700801</v>
      </c>
    </row>
    <row r="36" spans="1:58" s="206" customFormat="1" ht="18" hidden="1" customHeight="1" outlineLevel="1" x14ac:dyDescent="0.25">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25">
      <c r="B37" s="906" t="str">
        <f>B65</f>
        <v>Triagem Manual — Seletivos</v>
      </c>
      <c r="C37" s="325" t="str">
        <f>C65</f>
        <v>Não</v>
      </c>
      <c r="D37" s="325">
        <f>'R&amp;C-Painel de Controle'!H52</f>
        <v>0</v>
      </c>
      <c r="E37" s="1479"/>
      <c r="R37" s="299"/>
    </row>
    <row r="38" spans="1:58" s="206" customFormat="1" ht="18" hidden="1" customHeight="1" outlineLevel="1" x14ac:dyDescent="0.25">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25">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25">
      <c r="B40" s="906" t="str">
        <f>B68</f>
        <v>Triagem Mecanizada</v>
      </c>
      <c r="C40" s="325" t="str">
        <f>C68</f>
        <v>Sim</v>
      </c>
      <c r="D40" s="325">
        <f>'R&amp;C-Painel de Controle'!H55</f>
        <v>146467.94871794875</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25">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25">
      <c r="B42" s="285" t="s">
        <v>670</v>
      </c>
      <c r="C42" s="327">
        <f>C41*$D$40</f>
        <v>0</v>
      </c>
      <c r="D42" s="329">
        <f t="shared" ref="D42:Q42" si="10">D41*$D$40*(1+$C$8)</f>
        <v>0</v>
      </c>
      <c r="E42" s="333">
        <f t="shared" si="10"/>
        <v>0</v>
      </c>
      <c r="F42" s="333">
        <f t="shared" si="10"/>
        <v>147156.34807692311</v>
      </c>
      <c r="G42" s="333">
        <f t="shared" si="10"/>
        <v>147156.34807692311</v>
      </c>
      <c r="H42" s="333">
        <f t="shared" si="10"/>
        <v>147156.34807692311</v>
      </c>
      <c r="I42" s="333">
        <f t="shared" si="10"/>
        <v>147156.34807692311</v>
      </c>
      <c r="J42" s="333">
        <f t="shared" si="10"/>
        <v>147156.34807692311</v>
      </c>
      <c r="K42" s="333">
        <f t="shared" si="10"/>
        <v>147156.34807692311</v>
      </c>
      <c r="L42" s="333">
        <f t="shared" si="10"/>
        <v>147156.34807692311</v>
      </c>
      <c r="M42" s="333">
        <f t="shared" si="10"/>
        <v>147156.34807692311</v>
      </c>
      <c r="N42" s="333">
        <f t="shared" si="10"/>
        <v>147156.34807692311</v>
      </c>
      <c r="O42" s="333">
        <f t="shared" si="10"/>
        <v>147156.34807692311</v>
      </c>
      <c r="P42" s="333">
        <f t="shared" si="10"/>
        <v>147156.34807692311</v>
      </c>
      <c r="Q42" s="333">
        <f t="shared" si="10"/>
        <v>147156.34807692311</v>
      </c>
      <c r="R42" s="333">
        <f t="shared" ref="R42:BC42" si="11">Q42*(1+$C$8)</f>
        <v>147847.98291288465</v>
      </c>
      <c r="S42" s="333">
        <f t="shared" si="11"/>
        <v>148542.8684325752</v>
      </c>
      <c r="T42" s="333">
        <f t="shared" si="11"/>
        <v>149241.0199142083</v>
      </c>
      <c r="U42" s="333">
        <f t="shared" si="11"/>
        <v>149942.45270780506</v>
      </c>
      <c r="V42" s="333">
        <f t="shared" si="11"/>
        <v>150647.18223553174</v>
      </c>
      <c r="W42" s="333">
        <f t="shared" si="11"/>
        <v>151355.22399203872</v>
      </c>
      <c r="X42" s="333">
        <f t="shared" si="11"/>
        <v>152066.59354480129</v>
      </c>
      <c r="Y42" s="333">
        <f t="shared" si="11"/>
        <v>152781.30653446185</v>
      </c>
      <c r="Z42" s="333">
        <f t="shared" si="11"/>
        <v>153499.37867517382</v>
      </c>
      <c r="AA42" s="333">
        <f t="shared" si="11"/>
        <v>154220.82575494712</v>
      </c>
      <c r="AB42" s="333">
        <f t="shared" si="11"/>
        <v>154945.66363599536</v>
      </c>
      <c r="AC42" s="333">
        <f t="shared" si="11"/>
        <v>155673.90825508453</v>
      </c>
      <c r="AD42" s="333">
        <f t="shared" si="11"/>
        <v>156405.57562388343</v>
      </c>
      <c r="AE42" s="333">
        <f t="shared" si="11"/>
        <v>157140.68182931567</v>
      </c>
      <c r="AF42" s="333">
        <f t="shared" si="11"/>
        <v>157879.24303391343</v>
      </c>
      <c r="AG42" s="333">
        <f t="shared" si="11"/>
        <v>158621.2754761728</v>
      </c>
      <c r="AH42" s="333">
        <f t="shared" si="11"/>
        <v>159366.79547091079</v>
      </c>
      <c r="AI42" s="333">
        <f t="shared" si="11"/>
        <v>160115.81940962406</v>
      </c>
      <c r="AJ42" s="333">
        <f t="shared" si="11"/>
        <v>160868.36376084929</v>
      </c>
      <c r="AK42" s="333">
        <f t="shared" si="11"/>
        <v>161624.44507052525</v>
      </c>
      <c r="AL42" s="333">
        <f t="shared" si="11"/>
        <v>162384.07996235671</v>
      </c>
      <c r="AM42" s="333">
        <f t="shared" si="11"/>
        <v>163147.28513817978</v>
      </c>
      <c r="AN42" s="333">
        <f t="shared" si="11"/>
        <v>163914.07737832921</v>
      </c>
      <c r="AO42" s="333">
        <f t="shared" si="11"/>
        <v>164684.47354200736</v>
      </c>
      <c r="AP42" s="333">
        <f t="shared" si="11"/>
        <v>165458.49056765478</v>
      </c>
      <c r="AQ42" s="333">
        <f t="shared" si="11"/>
        <v>166236.14547332274</v>
      </c>
      <c r="AR42" s="333">
        <f t="shared" si="11"/>
        <v>167017.45535704735</v>
      </c>
      <c r="AS42" s="333">
        <f t="shared" si="11"/>
        <v>167802.43739722547</v>
      </c>
      <c r="AT42" s="333">
        <f t="shared" si="11"/>
        <v>168591.10885299242</v>
      </c>
      <c r="AU42" s="333">
        <f t="shared" si="11"/>
        <v>169383.48706460148</v>
      </c>
      <c r="AV42" s="333">
        <f t="shared" si="11"/>
        <v>170179.58945380509</v>
      </c>
      <c r="AW42" s="333">
        <f t="shared" si="11"/>
        <v>170979.43352423797</v>
      </c>
      <c r="AX42" s="333">
        <f t="shared" si="11"/>
        <v>171783.03686180187</v>
      </c>
      <c r="AY42" s="333">
        <f t="shared" si="11"/>
        <v>172590.41713505232</v>
      </c>
      <c r="AZ42" s="333">
        <f t="shared" si="11"/>
        <v>173401.59209558705</v>
      </c>
      <c r="BA42" s="333">
        <f t="shared" si="11"/>
        <v>174216.5795784363</v>
      </c>
      <c r="BB42" s="333">
        <f t="shared" si="11"/>
        <v>175035.39750245493</v>
      </c>
      <c r="BC42" s="333">
        <f t="shared" si="11"/>
        <v>175858.06387071646</v>
      </c>
      <c r="BD42" s="305"/>
      <c r="BE42" s="305"/>
      <c r="BF42" s="305"/>
    </row>
    <row r="43" spans="1:58" s="206" customFormat="1" ht="18" hidden="1" customHeight="1" outlineLevel="1" x14ac:dyDescent="0.25">
      <c r="B43" s="906" t="str">
        <f>B71</f>
        <v>Produção de CDR TM — Trat. Mec.</v>
      </c>
      <c r="C43" s="325" t="str">
        <f>C71</f>
        <v>Sim</v>
      </c>
      <c r="D43" s="325">
        <f>'R&amp;C-Painel de Controle'!H58</f>
        <v>55364.88461538461</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25">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25">
      <c r="B45" s="285" t="s">
        <v>670</v>
      </c>
      <c r="C45" s="327">
        <f>C44*$D$43</f>
        <v>0</v>
      </c>
      <c r="D45" s="329">
        <f t="shared" ref="D45:Q45" si="13">D44*$D$43*(1+$C$8)</f>
        <v>0</v>
      </c>
      <c r="E45" s="333">
        <f t="shared" si="13"/>
        <v>0</v>
      </c>
      <c r="F45" s="333">
        <f t="shared" si="13"/>
        <v>55625.099573076914</v>
      </c>
      <c r="G45" s="333">
        <f t="shared" si="13"/>
        <v>55625.099573076914</v>
      </c>
      <c r="H45" s="333">
        <f t="shared" si="13"/>
        <v>55625.099573076914</v>
      </c>
      <c r="I45" s="333">
        <f t="shared" si="13"/>
        <v>55625.099573076914</v>
      </c>
      <c r="J45" s="333">
        <f t="shared" si="13"/>
        <v>55625.099573076914</v>
      </c>
      <c r="K45" s="333">
        <f t="shared" si="13"/>
        <v>55625.099573076914</v>
      </c>
      <c r="L45" s="333">
        <f t="shared" si="13"/>
        <v>55625.099573076914</v>
      </c>
      <c r="M45" s="333">
        <f t="shared" si="13"/>
        <v>55625.099573076914</v>
      </c>
      <c r="N45" s="333">
        <f t="shared" si="13"/>
        <v>55625.099573076914</v>
      </c>
      <c r="O45" s="333">
        <f t="shared" si="13"/>
        <v>55625.099573076914</v>
      </c>
      <c r="P45" s="333">
        <f t="shared" si="13"/>
        <v>55625.099573076914</v>
      </c>
      <c r="Q45" s="333">
        <f t="shared" si="13"/>
        <v>55625.099573076914</v>
      </c>
      <c r="R45" s="333">
        <f t="shared" ref="R45:BC45" si="14">Q45*(1+$C$8)</f>
        <v>55886.537541070371</v>
      </c>
      <c r="S45" s="333">
        <f t="shared" si="14"/>
        <v>56149.2042675134</v>
      </c>
      <c r="T45" s="333">
        <f t="shared" si="14"/>
        <v>56413.105527570711</v>
      </c>
      <c r="U45" s="333">
        <f t="shared" si="14"/>
        <v>56678.247123550289</v>
      </c>
      <c r="V45" s="333">
        <f t="shared" si="14"/>
        <v>56944.634885030973</v>
      </c>
      <c r="W45" s="333">
        <f t="shared" si="14"/>
        <v>57212.274668990613</v>
      </c>
      <c r="X45" s="333">
        <f t="shared" si="14"/>
        <v>57481.172359934862</v>
      </c>
      <c r="Y45" s="333">
        <f t="shared" si="14"/>
        <v>57751.333870026552</v>
      </c>
      <c r="Z45" s="333">
        <f t="shared" si="14"/>
        <v>58022.765139215669</v>
      </c>
      <c r="AA45" s="333">
        <f t="shared" si="14"/>
        <v>58295.472135369979</v>
      </c>
      <c r="AB45" s="333">
        <f t="shared" si="14"/>
        <v>58569.460854406214</v>
      </c>
      <c r="AC45" s="333">
        <f t="shared" si="14"/>
        <v>58844.737320421918</v>
      </c>
      <c r="AD45" s="333">
        <f t="shared" si="14"/>
        <v>59121.307585827897</v>
      </c>
      <c r="AE45" s="333">
        <f t="shared" si="14"/>
        <v>59399.177731481286</v>
      </c>
      <c r="AF45" s="333">
        <f t="shared" si="14"/>
        <v>59678.353866819241</v>
      </c>
      <c r="AG45" s="333">
        <f t="shared" si="14"/>
        <v>59958.842129993289</v>
      </c>
      <c r="AH45" s="333">
        <f t="shared" si="14"/>
        <v>60240.64868800425</v>
      </c>
      <c r="AI45" s="333">
        <f t="shared" si="14"/>
        <v>60523.779736837867</v>
      </c>
      <c r="AJ45" s="333">
        <f t="shared" si="14"/>
        <v>60808.241501600998</v>
      </c>
      <c r="AK45" s="333">
        <f t="shared" si="14"/>
        <v>61094.040236658519</v>
      </c>
      <c r="AL45" s="333">
        <f t="shared" si="14"/>
        <v>61381.182225770812</v>
      </c>
      <c r="AM45" s="333">
        <f t="shared" si="14"/>
        <v>61669.673782231926</v>
      </c>
      <c r="AN45" s="333">
        <f t="shared" si="14"/>
        <v>61959.521249008409</v>
      </c>
      <c r="AO45" s="333">
        <f t="shared" si="14"/>
        <v>62250.730998878746</v>
      </c>
      <c r="AP45" s="333">
        <f t="shared" si="14"/>
        <v>62543.309434573472</v>
      </c>
      <c r="AQ45" s="333">
        <f t="shared" si="14"/>
        <v>62837.262988915965</v>
      </c>
      <c r="AR45" s="333">
        <f t="shared" si="14"/>
        <v>63132.598124963864</v>
      </c>
      <c r="AS45" s="333">
        <f t="shared" si="14"/>
        <v>63429.321336151188</v>
      </c>
      <c r="AT45" s="333">
        <f t="shared" si="14"/>
        <v>63727.439146431097</v>
      </c>
      <c r="AU45" s="333">
        <f t="shared" si="14"/>
        <v>64026.95811041932</v>
      </c>
      <c r="AV45" s="333">
        <f t="shared" si="14"/>
        <v>64327.884813538287</v>
      </c>
      <c r="AW45" s="333">
        <f t="shared" si="14"/>
        <v>64630.225872161915</v>
      </c>
      <c r="AX45" s="333">
        <f t="shared" si="14"/>
        <v>64933.987933761069</v>
      </c>
      <c r="AY45" s="333">
        <f t="shared" si="14"/>
        <v>65239.177677049738</v>
      </c>
      <c r="AZ45" s="333">
        <f t="shared" si="14"/>
        <v>65545.80181213186</v>
      </c>
      <c r="BA45" s="333">
        <f t="shared" si="14"/>
        <v>65853.867080648881</v>
      </c>
      <c r="BB45" s="333">
        <f t="shared" si="14"/>
        <v>66163.380255927928</v>
      </c>
      <c r="BC45" s="333">
        <f t="shared" si="14"/>
        <v>66474.348143130788</v>
      </c>
      <c r="BD45" s="305"/>
      <c r="BE45" s="305"/>
      <c r="BF45" s="305"/>
    </row>
    <row r="46" spans="1:58" s="206" customFormat="1" ht="18" hidden="1" customHeight="1" outlineLevel="1" x14ac:dyDescent="0.25">
      <c r="B46" s="906" t="str">
        <f>B74</f>
        <v>Prod. CDR TMB — Trat. Mec./Biológ.</v>
      </c>
      <c r="C46" s="325" t="str">
        <f>C74</f>
        <v>Não</v>
      </c>
      <c r="D46" s="325">
        <f>'R&amp;C-Painel de Controle'!H61</f>
        <v>0</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25">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25">
      <c r="B48" s="285" t="s">
        <v>670</v>
      </c>
      <c r="C48" s="327">
        <f>C47*$D$46</f>
        <v>0</v>
      </c>
      <c r="D48" s="329">
        <f t="shared" ref="D48:Q48" si="16">D47*$D$46*(1+$C$8)</f>
        <v>0</v>
      </c>
      <c r="E48" s="333">
        <f t="shared" si="16"/>
        <v>0</v>
      </c>
      <c r="F48" s="333">
        <f t="shared" si="16"/>
        <v>0</v>
      </c>
      <c r="G48" s="333">
        <f t="shared" si="16"/>
        <v>0</v>
      </c>
      <c r="H48" s="333">
        <f t="shared" si="16"/>
        <v>0</v>
      </c>
      <c r="I48" s="333">
        <f t="shared" si="16"/>
        <v>0</v>
      </c>
      <c r="J48" s="333">
        <f t="shared" si="16"/>
        <v>0</v>
      </c>
      <c r="K48" s="333">
        <f t="shared" si="16"/>
        <v>0</v>
      </c>
      <c r="L48" s="333">
        <f t="shared" si="16"/>
        <v>0</v>
      </c>
      <c r="M48" s="333">
        <f t="shared" si="16"/>
        <v>0</v>
      </c>
      <c r="N48" s="333">
        <f t="shared" si="16"/>
        <v>0</v>
      </c>
      <c r="O48" s="333">
        <f t="shared" si="16"/>
        <v>0</v>
      </c>
      <c r="P48" s="333">
        <f t="shared" si="16"/>
        <v>0</v>
      </c>
      <c r="Q48" s="333">
        <f t="shared" si="16"/>
        <v>0</v>
      </c>
      <c r="R48" s="333">
        <f t="shared" ref="R48:BC48" si="17">Q48*(1+$C$8)</f>
        <v>0</v>
      </c>
      <c r="S48" s="333">
        <f t="shared" si="17"/>
        <v>0</v>
      </c>
      <c r="T48" s="333">
        <f t="shared" si="17"/>
        <v>0</v>
      </c>
      <c r="U48" s="333">
        <f t="shared" si="17"/>
        <v>0</v>
      </c>
      <c r="V48" s="333">
        <f t="shared" si="17"/>
        <v>0</v>
      </c>
      <c r="W48" s="333">
        <f t="shared" si="17"/>
        <v>0</v>
      </c>
      <c r="X48" s="333">
        <f t="shared" si="17"/>
        <v>0</v>
      </c>
      <c r="Y48" s="333">
        <f t="shared" si="17"/>
        <v>0</v>
      </c>
      <c r="Z48" s="333">
        <f t="shared" si="17"/>
        <v>0</v>
      </c>
      <c r="AA48" s="333">
        <f t="shared" si="17"/>
        <v>0</v>
      </c>
      <c r="AB48" s="333">
        <f t="shared" si="17"/>
        <v>0</v>
      </c>
      <c r="AC48" s="333">
        <f t="shared" si="17"/>
        <v>0</v>
      </c>
      <c r="AD48" s="333">
        <f t="shared" si="17"/>
        <v>0</v>
      </c>
      <c r="AE48" s="333">
        <f t="shared" si="17"/>
        <v>0</v>
      </c>
      <c r="AF48" s="333">
        <f t="shared" si="17"/>
        <v>0</v>
      </c>
      <c r="AG48" s="333">
        <f t="shared" si="17"/>
        <v>0</v>
      </c>
      <c r="AH48" s="333">
        <f t="shared" si="17"/>
        <v>0</v>
      </c>
      <c r="AI48" s="333">
        <f t="shared" si="17"/>
        <v>0</v>
      </c>
      <c r="AJ48" s="333">
        <f t="shared" si="17"/>
        <v>0</v>
      </c>
      <c r="AK48" s="333">
        <f t="shared" si="17"/>
        <v>0</v>
      </c>
      <c r="AL48" s="333">
        <f t="shared" si="17"/>
        <v>0</v>
      </c>
      <c r="AM48" s="333">
        <f t="shared" si="17"/>
        <v>0</v>
      </c>
      <c r="AN48" s="333">
        <f t="shared" si="17"/>
        <v>0</v>
      </c>
      <c r="AO48" s="333">
        <f t="shared" si="17"/>
        <v>0</v>
      </c>
      <c r="AP48" s="333">
        <f t="shared" si="17"/>
        <v>0</v>
      </c>
      <c r="AQ48" s="333">
        <f t="shared" si="17"/>
        <v>0</v>
      </c>
      <c r="AR48" s="333">
        <f t="shared" si="17"/>
        <v>0</v>
      </c>
      <c r="AS48" s="333">
        <f t="shared" si="17"/>
        <v>0</v>
      </c>
      <c r="AT48" s="333">
        <f t="shared" si="17"/>
        <v>0</v>
      </c>
      <c r="AU48" s="333">
        <f t="shared" si="17"/>
        <v>0</v>
      </c>
      <c r="AV48" s="333">
        <f t="shared" si="17"/>
        <v>0</v>
      </c>
      <c r="AW48" s="333">
        <f t="shared" si="17"/>
        <v>0</v>
      </c>
      <c r="AX48" s="333">
        <f t="shared" si="17"/>
        <v>0</v>
      </c>
      <c r="AY48" s="333">
        <f t="shared" si="17"/>
        <v>0</v>
      </c>
      <c r="AZ48" s="333">
        <f t="shared" si="17"/>
        <v>0</v>
      </c>
      <c r="BA48" s="333">
        <f t="shared" si="17"/>
        <v>0</v>
      </c>
      <c r="BB48" s="333">
        <f t="shared" si="17"/>
        <v>0</v>
      </c>
      <c r="BC48" s="333">
        <f t="shared" si="17"/>
        <v>0</v>
      </c>
      <c r="BD48" s="305"/>
      <c r="BE48" s="305"/>
      <c r="BF48" s="305"/>
    </row>
    <row r="49" spans="1:58" s="206" customFormat="1" ht="18" hidden="1" customHeight="1" outlineLevel="1" x14ac:dyDescent="0.25">
      <c r="B49" s="906" t="str">
        <f>B77</f>
        <v>Biodigestão Anaeróbia</v>
      </c>
      <c r="C49" s="325" t="str">
        <f>C77</f>
        <v>Não'</v>
      </c>
      <c r="D49" s="325">
        <f>'R&amp;C-Painel de Controle'!H64</f>
        <v>0</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25">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25">
      <c r="B51" s="285" t="s">
        <v>670</v>
      </c>
      <c r="C51" s="327">
        <f>C50*$D$49</f>
        <v>0</v>
      </c>
      <c r="D51" s="329">
        <f t="shared" ref="D51:Q51" si="19">D50*$D$49*(1+$C$8)</f>
        <v>0</v>
      </c>
      <c r="E51" s="333">
        <f t="shared" si="19"/>
        <v>0</v>
      </c>
      <c r="F51" s="333">
        <f t="shared" si="19"/>
        <v>0</v>
      </c>
      <c r="G51" s="333">
        <f t="shared" si="19"/>
        <v>0</v>
      </c>
      <c r="H51" s="333">
        <f t="shared" si="19"/>
        <v>0</v>
      </c>
      <c r="I51" s="333">
        <f t="shared" si="19"/>
        <v>0</v>
      </c>
      <c r="J51" s="333">
        <f t="shared" si="19"/>
        <v>0</v>
      </c>
      <c r="K51" s="333">
        <f t="shared" si="19"/>
        <v>0</v>
      </c>
      <c r="L51" s="333">
        <f t="shared" si="19"/>
        <v>0</v>
      </c>
      <c r="M51" s="333">
        <f t="shared" si="19"/>
        <v>0</v>
      </c>
      <c r="N51" s="333">
        <f t="shared" si="19"/>
        <v>0</v>
      </c>
      <c r="O51" s="333">
        <f t="shared" si="19"/>
        <v>0</v>
      </c>
      <c r="P51" s="333">
        <f t="shared" si="19"/>
        <v>0</v>
      </c>
      <c r="Q51" s="333">
        <f t="shared" si="19"/>
        <v>0</v>
      </c>
      <c r="R51" s="333">
        <f t="shared" ref="R51:BC51" si="20">Q51*(1+$C$8)</f>
        <v>0</v>
      </c>
      <c r="S51" s="333">
        <f t="shared" si="20"/>
        <v>0</v>
      </c>
      <c r="T51" s="333">
        <f t="shared" si="20"/>
        <v>0</v>
      </c>
      <c r="U51" s="333">
        <f t="shared" si="20"/>
        <v>0</v>
      </c>
      <c r="V51" s="333">
        <f t="shared" si="20"/>
        <v>0</v>
      </c>
      <c r="W51" s="333">
        <f t="shared" si="20"/>
        <v>0</v>
      </c>
      <c r="X51" s="333">
        <f t="shared" si="20"/>
        <v>0</v>
      </c>
      <c r="Y51" s="333">
        <f t="shared" si="20"/>
        <v>0</v>
      </c>
      <c r="Z51" s="333">
        <f t="shared" si="20"/>
        <v>0</v>
      </c>
      <c r="AA51" s="333">
        <f t="shared" si="20"/>
        <v>0</v>
      </c>
      <c r="AB51" s="333">
        <f t="shared" si="20"/>
        <v>0</v>
      </c>
      <c r="AC51" s="333">
        <f t="shared" si="20"/>
        <v>0</v>
      </c>
      <c r="AD51" s="333">
        <f t="shared" si="20"/>
        <v>0</v>
      </c>
      <c r="AE51" s="333">
        <f t="shared" si="20"/>
        <v>0</v>
      </c>
      <c r="AF51" s="333">
        <f t="shared" si="20"/>
        <v>0</v>
      </c>
      <c r="AG51" s="333">
        <f t="shared" si="20"/>
        <v>0</v>
      </c>
      <c r="AH51" s="333">
        <f t="shared" si="20"/>
        <v>0</v>
      </c>
      <c r="AI51" s="333">
        <f t="shared" si="20"/>
        <v>0</v>
      </c>
      <c r="AJ51" s="333">
        <f t="shared" si="20"/>
        <v>0</v>
      </c>
      <c r="AK51" s="333">
        <f t="shared" si="20"/>
        <v>0</v>
      </c>
      <c r="AL51" s="333">
        <f t="shared" si="20"/>
        <v>0</v>
      </c>
      <c r="AM51" s="333">
        <f t="shared" si="20"/>
        <v>0</v>
      </c>
      <c r="AN51" s="333">
        <f t="shared" si="20"/>
        <v>0</v>
      </c>
      <c r="AO51" s="333">
        <f t="shared" si="20"/>
        <v>0</v>
      </c>
      <c r="AP51" s="333">
        <f t="shared" si="20"/>
        <v>0</v>
      </c>
      <c r="AQ51" s="333">
        <f t="shared" si="20"/>
        <v>0</v>
      </c>
      <c r="AR51" s="333">
        <f t="shared" si="20"/>
        <v>0</v>
      </c>
      <c r="AS51" s="333">
        <f t="shared" si="20"/>
        <v>0</v>
      </c>
      <c r="AT51" s="333">
        <f t="shared" si="20"/>
        <v>0</v>
      </c>
      <c r="AU51" s="333">
        <f t="shared" si="20"/>
        <v>0</v>
      </c>
      <c r="AV51" s="333">
        <f t="shared" si="20"/>
        <v>0</v>
      </c>
      <c r="AW51" s="333">
        <f t="shared" si="20"/>
        <v>0</v>
      </c>
      <c r="AX51" s="333">
        <f t="shared" si="20"/>
        <v>0</v>
      </c>
      <c r="AY51" s="333">
        <f t="shared" si="20"/>
        <v>0</v>
      </c>
      <c r="AZ51" s="333">
        <f t="shared" si="20"/>
        <v>0</v>
      </c>
      <c r="BA51" s="333">
        <f t="shared" si="20"/>
        <v>0</v>
      </c>
      <c r="BB51" s="333">
        <f t="shared" si="20"/>
        <v>0</v>
      </c>
      <c r="BC51" s="333">
        <f t="shared" si="20"/>
        <v>0</v>
      </c>
      <c r="BD51" s="305"/>
      <c r="BE51" s="305"/>
      <c r="BF51" s="305"/>
    </row>
    <row r="52" spans="1:58" s="206" customFormat="1" ht="18" hidden="1" customHeight="1" outlineLevel="1" x14ac:dyDescent="0.25">
      <c r="B52" s="906" t="str">
        <f>B80</f>
        <v>Compostagem</v>
      </c>
      <c r="C52" s="325" t="str">
        <f>C80</f>
        <v>Sim</v>
      </c>
      <c r="D52" s="325">
        <f>'R&amp;C-Painel de Controle'!H67</f>
        <v>63991.846794871803</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25">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25">
      <c r="B54" s="285" t="s">
        <v>670</v>
      </c>
      <c r="C54" s="327">
        <f>C53*$D$52</f>
        <v>0</v>
      </c>
      <c r="D54" s="329">
        <f t="shared" ref="D54:Q54" si="22">D53*$D$52*(1+$C$8)</f>
        <v>0</v>
      </c>
      <c r="E54" s="333">
        <f t="shared" si="22"/>
        <v>0</v>
      </c>
      <c r="F54" s="333">
        <f t="shared" si="22"/>
        <v>64292.608474807697</v>
      </c>
      <c r="G54" s="333">
        <f t="shared" si="22"/>
        <v>64292.608474807697</v>
      </c>
      <c r="H54" s="333">
        <f t="shared" si="22"/>
        <v>64292.608474807697</v>
      </c>
      <c r="I54" s="333">
        <f t="shared" si="22"/>
        <v>64292.608474807697</v>
      </c>
      <c r="J54" s="333">
        <f t="shared" si="22"/>
        <v>64292.608474807697</v>
      </c>
      <c r="K54" s="333">
        <f t="shared" si="22"/>
        <v>64292.608474807697</v>
      </c>
      <c r="L54" s="333">
        <f t="shared" si="22"/>
        <v>64292.608474807697</v>
      </c>
      <c r="M54" s="333">
        <f t="shared" si="22"/>
        <v>64292.608474807697</v>
      </c>
      <c r="N54" s="333">
        <f t="shared" si="22"/>
        <v>64292.608474807697</v>
      </c>
      <c r="O54" s="333">
        <f t="shared" si="22"/>
        <v>64292.608474807697</v>
      </c>
      <c r="P54" s="333">
        <f t="shared" si="22"/>
        <v>64292.608474807697</v>
      </c>
      <c r="Q54" s="333">
        <f t="shared" si="22"/>
        <v>64292.608474807697</v>
      </c>
      <c r="R54" s="333">
        <f t="shared" ref="R54:BC54" si="23">Q54*(1+$C$8)</f>
        <v>64594.783734639292</v>
      </c>
      <c r="S54" s="333">
        <f t="shared" si="23"/>
        <v>64898.379218192094</v>
      </c>
      <c r="T54" s="333">
        <f t="shared" si="23"/>
        <v>65203.401600517594</v>
      </c>
      <c r="U54" s="333">
        <f t="shared" si="23"/>
        <v>65509.857588040024</v>
      </c>
      <c r="V54" s="333">
        <f t="shared" si="23"/>
        <v>65817.753918703806</v>
      </c>
      <c r="W54" s="333">
        <f t="shared" si="23"/>
        <v>66127.097362121713</v>
      </c>
      <c r="X54" s="333">
        <f t="shared" si="23"/>
        <v>66437.894719723685</v>
      </c>
      <c r="Y54" s="333">
        <f t="shared" si="23"/>
        <v>66750.152824906385</v>
      </c>
      <c r="Z54" s="333">
        <f t="shared" si="23"/>
        <v>67063.87854318344</v>
      </c>
      <c r="AA54" s="333">
        <f t="shared" si="23"/>
        <v>67379.078772336405</v>
      </c>
      <c r="AB54" s="333">
        <f t="shared" si="23"/>
        <v>67695.760442566374</v>
      </c>
      <c r="AC54" s="333">
        <f t="shared" si="23"/>
        <v>68013.930516646433</v>
      </c>
      <c r="AD54" s="333">
        <f t="shared" si="23"/>
        <v>68333.595990074667</v>
      </c>
      <c r="AE54" s="333">
        <f t="shared" si="23"/>
        <v>68654.763891228009</v>
      </c>
      <c r="AF54" s="333">
        <f t="shared" si="23"/>
        <v>68977.441281516774</v>
      </c>
      <c r="AG54" s="333">
        <f t="shared" si="23"/>
        <v>69301.635255539892</v>
      </c>
      <c r="AH54" s="333">
        <f t="shared" si="23"/>
        <v>69627.352941240926</v>
      </c>
      <c r="AI54" s="333">
        <f t="shared" si="23"/>
        <v>69954.60150006476</v>
      </c>
      <c r="AJ54" s="333">
        <f t="shared" si="23"/>
        <v>70283.38812711506</v>
      </c>
      <c r="AK54" s="333">
        <f t="shared" si="23"/>
        <v>70613.720051312499</v>
      </c>
      <c r="AL54" s="333">
        <f t="shared" si="23"/>
        <v>70945.604535553663</v>
      </c>
      <c r="AM54" s="333">
        <f t="shared" si="23"/>
        <v>71279.048876870758</v>
      </c>
      <c r="AN54" s="333">
        <f t="shared" si="23"/>
        <v>71614.060406592049</v>
      </c>
      <c r="AO54" s="333">
        <f t="shared" si="23"/>
        <v>71950.64649050303</v>
      </c>
      <c r="AP54" s="333">
        <f t="shared" si="23"/>
        <v>72288.814529008392</v>
      </c>
      <c r="AQ54" s="333">
        <f t="shared" si="23"/>
        <v>72628.571957294727</v>
      </c>
      <c r="AR54" s="333">
        <f t="shared" si="23"/>
        <v>72969.926245494004</v>
      </c>
      <c r="AS54" s="333">
        <f t="shared" si="23"/>
        <v>73312.884898847813</v>
      </c>
      <c r="AT54" s="333">
        <f t="shared" si="23"/>
        <v>73657.455457872391</v>
      </c>
      <c r="AU54" s="333">
        <f t="shared" si="23"/>
        <v>74003.645498524391</v>
      </c>
      <c r="AV54" s="333">
        <f t="shared" si="23"/>
        <v>74351.462632367446</v>
      </c>
      <c r="AW54" s="333">
        <f t="shared" si="23"/>
        <v>74700.914506739573</v>
      </c>
      <c r="AX54" s="333">
        <f t="shared" si="23"/>
        <v>75052.00880492125</v>
      </c>
      <c r="AY54" s="333">
        <f t="shared" si="23"/>
        <v>75404.753246304375</v>
      </c>
      <c r="AZ54" s="333">
        <f t="shared" si="23"/>
        <v>75759.155586562003</v>
      </c>
      <c r="BA54" s="333">
        <f t="shared" si="23"/>
        <v>76115.223617818832</v>
      </c>
      <c r="BB54" s="333">
        <f t="shared" si="23"/>
        <v>76472.965168822571</v>
      </c>
      <c r="BC54" s="333">
        <f t="shared" si="23"/>
        <v>76832.388105116028</v>
      </c>
      <c r="BD54" s="305"/>
      <c r="BE54" s="305"/>
      <c r="BF54" s="305"/>
    </row>
    <row r="55" spans="1:58" s="206" customFormat="1" ht="18" hidden="1" customHeight="1" outlineLevel="1" x14ac:dyDescent="0.25">
      <c r="B55" s="906" t="str">
        <f>B83</f>
        <v>Incineração</v>
      </c>
      <c r="C55" s="325" t="str">
        <f>C83</f>
        <v>Não</v>
      </c>
      <c r="D55" s="325">
        <f>'R&amp;C-Painel de Controle'!H70</f>
        <v>0</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25">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25">
      <c r="B57" s="285" t="s">
        <v>670</v>
      </c>
      <c r="C57" s="327">
        <f>C56*$D$55</f>
        <v>0</v>
      </c>
      <c r="D57" s="329">
        <f t="shared" ref="D57:Q57" si="25">D56*$D$55*(1+$C$8)</f>
        <v>0</v>
      </c>
      <c r="E57" s="333">
        <f t="shared" si="25"/>
        <v>0</v>
      </c>
      <c r="F57" s="333">
        <f t="shared" si="25"/>
        <v>0</v>
      </c>
      <c r="G57" s="333">
        <f t="shared" si="25"/>
        <v>0</v>
      </c>
      <c r="H57" s="333">
        <f t="shared" si="25"/>
        <v>0</v>
      </c>
      <c r="I57" s="333">
        <f t="shared" si="25"/>
        <v>0</v>
      </c>
      <c r="J57" s="333">
        <f t="shared" si="25"/>
        <v>0</v>
      </c>
      <c r="K57" s="333">
        <f t="shared" si="25"/>
        <v>0</v>
      </c>
      <c r="L57" s="333">
        <f t="shared" si="25"/>
        <v>0</v>
      </c>
      <c r="M57" s="333">
        <f t="shared" si="25"/>
        <v>0</v>
      </c>
      <c r="N57" s="333">
        <f t="shared" si="25"/>
        <v>0</v>
      </c>
      <c r="O57" s="333">
        <f t="shared" si="25"/>
        <v>0</v>
      </c>
      <c r="P57" s="333">
        <f t="shared" si="25"/>
        <v>0</v>
      </c>
      <c r="Q57" s="333">
        <f t="shared" si="25"/>
        <v>0</v>
      </c>
      <c r="R57" s="333">
        <f t="shared" ref="R57:BC57" si="26">Q57*(1+$C$8)</f>
        <v>0</v>
      </c>
      <c r="S57" s="333">
        <f t="shared" si="26"/>
        <v>0</v>
      </c>
      <c r="T57" s="333">
        <f t="shared" si="26"/>
        <v>0</v>
      </c>
      <c r="U57" s="333">
        <f t="shared" si="26"/>
        <v>0</v>
      </c>
      <c r="V57" s="333">
        <f t="shared" si="26"/>
        <v>0</v>
      </c>
      <c r="W57" s="333">
        <f t="shared" si="26"/>
        <v>0</v>
      </c>
      <c r="X57" s="333">
        <f t="shared" si="26"/>
        <v>0</v>
      </c>
      <c r="Y57" s="333">
        <f t="shared" si="26"/>
        <v>0</v>
      </c>
      <c r="Z57" s="333">
        <f t="shared" si="26"/>
        <v>0</v>
      </c>
      <c r="AA57" s="333">
        <f t="shared" si="26"/>
        <v>0</v>
      </c>
      <c r="AB57" s="333">
        <f t="shared" si="26"/>
        <v>0</v>
      </c>
      <c r="AC57" s="333">
        <f t="shared" si="26"/>
        <v>0</v>
      </c>
      <c r="AD57" s="333">
        <f t="shared" si="26"/>
        <v>0</v>
      </c>
      <c r="AE57" s="333">
        <f t="shared" si="26"/>
        <v>0</v>
      </c>
      <c r="AF57" s="333">
        <f t="shared" si="26"/>
        <v>0</v>
      </c>
      <c r="AG57" s="333">
        <f t="shared" si="26"/>
        <v>0</v>
      </c>
      <c r="AH57" s="333">
        <f t="shared" si="26"/>
        <v>0</v>
      </c>
      <c r="AI57" s="333">
        <f t="shared" si="26"/>
        <v>0</v>
      </c>
      <c r="AJ57" s="333">
        <f t="shared" si="26"/>
        <v>0</v>
      </c>
      <c r="AK57" s="333">
        <f t="shared" si="26"/>
        <v>0</v>
      </c>
      <c r="AL57" s="333">
        <f t="shared" si="26"/>
        <v>0</v>
      </c>
      <c r="AM57" s="333">
        <f t="shared" si="26"/>
        <v>0</v>
      </c>
      <c r="AN57" s="333">
        <f t="shared" si="26"/>
        <v>0</v>
      </c>
      <c r="AO57" s="333">
        <f t="shared" si="26"/>
        <v>0</v>
      </c>
      <c r="AP57" s="333">
        <f t="shared" si="26"/>
        <v>0</v>
      </c>
      <c r="AQ57" s="333">
        <f t="shared" si="26"/>
        <v>0</v>
      </c>
      <c r="AR57" s="333">
        <f t="shared" si="26"/>
        <v>0</v>
      </c>
      <c r="AS57" s="333">
        <f t="shared" si="26"/>
        <v>0</v>
      </c>
      <c r="AT57" s="333">
        <f t="shared" si="26"/>
        <v>0</v>
      </c>
      <c r="AU57" s="333">
        <f t="shared" si="26"/>
        <v>0</v>
      </c>
      <c r="AV57" s="333">
        <f t="shared" si="26"/>
        <v>0</v>
      </c>
      <c r="AW57" s="333">
        <f t="shared" si="26"/>
        <v>0</v>
      </c>
      <c r="AX57" s="333">
        <f t="shared" si="26"/>
        <v>0</v>
      </c>
      <c r="AY57" s="333">
        <f t="shared" si="26"/>
        <v>0</v>
      </c>
      <c r="AZ57" s="333">
        <f t="shared" si="26"/>
        <v>0</v>
      </c>
      <c r="BA57" s="333">
        <f t="shared" si="26"/>
        <v>0</v>
      </c>
      <c r="BB57" s="333">
        <f t="shared" si="26"/>
        <v>0</v>
      </c>
      <c r="BC57" s="333">
        <f t="shared" si="26"/>
        <v>0</v>
      </c>
      <c r="BD57" s="305"/>
      <c r="BE57" s="305"/>
      <c r="BF57" s="305"/>
    </row>
    <row r="58" spans="1:58" s="206" customFormat="1" ht="18" hidden="1" customHeight="1" outlineLevel="1" x14ac:dyDescent="0.25">
      <c r="B58" s="906" t="str">
        <f>B86</f>
        <v>Aterro Sanitário</v>
      </c>
      <c r="C58" s="325" t="str">
        <f>C86</f>
        <v>Sim</v>
      </c>
      <c r="D58" s="325">
        <f>'R&amp;C-Painel de Controle'!H73</f>
        <v>77890.802403846174</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25">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25">
      <c r="B60" s="285" t="s">
        <v>670</v>
      </c>
      <c r="C60" s="327">
        <f>C59*$D$58</f>
        <v>0</v>
      </c>
      <c r="D60" s="329">
        <f t="shared" ref="D60:Q60" si="28">D59*$D$58*(1+$C$8)</f>
        <v>0</v>
      </c>
      <c r="E60" s="333">
        <f t="shared" si="28"/>
        <v>0</v>
      </c>
      <c r="F60" s="333">
        <f t="shared" si="28"/>
        <v>78256.889175144242</v>
      </c>
      <c r="G60" s="333">
        <f t="shared" si="28"/>
        <v>78256.889175144242</v>
      </c>
      <c r="H60" s="333">
        <f t="shared" si="28"/>
        <v>78256.889175144242</v>
      </c>
      <c r="I60" s="333">
        <f t="shared" si="28"/>
        <v>78256.889175144242</v>
      </c>
      <c r="J60" s="333">
        <f t="shared" si="28"/>
        <v>78256.889175144242</v>
      </c>
      <c r="K60" s="333">
        <f t="shared" si="28"/>
        <v>78256.889175144242</v>
      </c>
      <c r="L60" s="333">
        <f t="shared" si="28"/>
        <v>78256.889175144242</v>
      </c>
      <c r="M60" s="333">
        <f t="shared" si="28"/>
        <v>78256.889175144242</v>
      </c>
      <c r="N60" s="333">
        <f t="shared" si="28"/>
        <v>78256.889175144242</v>
      </c>
      <c r="O60" s="333">
        <f t="shared" si="28"/>
        <v>78256.889175144242</v>
      </c>
      <c r="P60" s="333">
        <f t="shared" si="28"/>
        <v>78256.889175144242</v>
      </c>
      <c r="Q60" s="333">
        <f t="shared" si="28"/>
        <v>78256.889175144242</v>
      </c>
      <c r="R60" s="333">
        <f t="shared" ref="R60:BC60" si="29">Q60*(1+$C$8)</f>
        <v>78624.696554267415</v>
      </c>
      <c r="S60" s="333">
        <f t="shared" si="29"/>
        <v>78994.232628072466</v>
      </c>
      <c r="T60" s="333">
        <f t="shared" si="29"/>
        <v>79365.505521424406</v>
      </c>
      <c r="U60" s="333">
        <f t="shared" si="29"/>
        <v>79738.523397375087</v>
      </c>
      <c r="V60" s="333">
        <f t="shared" si="29"/>
        <v>80113.294457342738</v>
      </c>
      <c r="W60" s="333">
        <f t="shared" si="29"/>
        <v>80489.826941292238</v>
      </c>
      <c r="X60" s="333">
        <f t="shared" si="29"/>
        <v>80868.129127916312</v>
      </c>
      <c r="Y60" s="333">
        <f t="shared" si="29"/>
        <v>81248.209334817511</v>
      </c>
      <c r="Z60" s="333">
        <f t="shared" si="29"/>
        <v>81630.075918691145</v>
      </c>
      <c r="AA60" s="333">
        <f t="shared" si="29"/>
        <v>82013.737275508989</v>
      </c>
      <c r="AB60" s="333">
        <f t="shared" si="29"/>
        <v>82399.20184070387</v>
      </c>
      <c r="AC60" s="333">
        <f t="shared" si="29"/>
        <v>82786.47808935518</v>
      </c>
      <c r="AD60" s="333">
        <f t="shared" si="29"/>
        <v>83175.574536375148</v>
      </c>
      <c r="AE60" s="333">
        <f t="shared" si="29"/>
        <v>83566.499736696103</v>
      </c>
      <c r="AF60" s="333">
        <f t="shared" si="29"/>
        <v>83959.262285458564</v>
      </c>
      <c r="AG60" s="333">
        <f t="shared" si="29"/>
        <v>84353.870818200216</v>
      </c>
      <c r="AH60" s="333">
        <f t="shared" si="29"/>
        <v>84750.33401104575</v>
      </c>
      <c r="AI60" s="333">
        <f t="shared" si="29"/>
        <v>85148.66058089766</v>
      </c>
      <c r="AJ60" s="333">
        <f t="shared" si="29"/>
        <v>85548.85928562787</v>
      </c>
      <c r="AK60" s="333">
        <f t="shared" si="29"/>
        <v>85950.938924270318</v>
      </c>
      <c r="AL60" s="333">
        <f t="shared" si="29"/>
        <v>86354.90833721438</v>
      </c>
      <c r="AM60" s="333">
        <f t="shared" si="29"/>
        <v>86760.77640639928</v>
      </c>
      <c r="AN60" s="333">
        <f t="shared" si="29"/>
        <v>87168.552055509354</v>
      </c>
      <c r="AO60" s="333">
        <f t="shared" si="29"/>
        <v>87578.244250170246</v>
      </c>
      <c r="AP60" s="333">
        <f t="shared" si="29"/>
        <v>87989.861998146036</v>
      </c>
      <c r="AQ60" s="333">
        <f t="shared" si="29"/>
        <v>88403.414349537314</v>
      </c>
      <c r="AR60" s="333">
        <f t="shared" si="29"/>
        <v>88818.910396980136</v>
      </c>
      <c r="AS60" s="333">
        <f t="shared" si="29"/>
        <v>89236.359275845942</v>
      </c>
      <c r="AT60" s="333">
        <f t="shared" si="29"/>
        <v>89655.770164442409</v>
      </c>
      <c r="AU60" s="333">
        <f t="shared" si="29"/>
        <v>90077.152284215277</v>
      </c>
      <c r="AV60" s="333">
        <f t="shared" si="29"/>
        <v>90500.514899951086</v>
      </c>
      <c r="AW60" s="333">
        <f t="shared" si="29"/>
        <v>90925.867319980855</v>
      </c>
      <c r="AX60" s="333">
        <f t="shared" si="29"/>
        <v>91353.218896384758</v>
      </c>
      <c r="AY60" s="333">
        <f t="shared" si="29"/>
        <v>91782.57902519776</v>
      </c>
      <c r="AZ60" s="333">
        <f t="shared" si="29"/>
        <v>92213.957146616187</v>
      </c>
      <c r="BA60" s="333">
        <f t="shared" si="29"/>
        <v>92647.362745205275</v>
      </c>
      <c r="BB60" s="333">
        <f t="shared" si="29"/>
        <v>93082.805350107737</v>
      </c>
      <c r="BC60" s="333">
        <f t="shared" si="29"/>
        <v>93520.294535253241</v>
      </c>
      <c r="BD60" s="305"/>
      <c r="BE60" s="305"/>
      <c r="BF60" s="305"/>
    </row>
    <row r="61" spans="1:58" s="206" customFormat="1" ht="18" hidden="1" customHeight="1" outlineLevel="1" x14ac:dyDescent="0.25">
      <c r="B61" s="906" t="s">
        <v>671</v>
      </c>
      <c r="C61" s="328">
        <f>C35</f>
        <v>146000</v>
      </c>
      <c r="D61" s="330">
        <f>D35</f>
        <v>146686.19999999998</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25">
      <c r="B62" s="207" t="s">
        <v>992</v>
      </c>
      <c r="C62" s="1710">
        <v>0</v>
      </c>
      <c r="D62" s="306"/>
      <c r="E62" s="306"/>
      <c r="F62" s="306"/>
      <c r="G62" s="306"/>
      <c r="H62" s="306"/>
      <c r="I62" s="306"/>
      <c r="J62" s="306"/>
      <c r="K62" s="306"/>
      <c r="L62" s="306"/>
      <c r="M62" s="306"/>
      <c r="N62" s="306"/>
      <c r="O62" s="306"/>
      <c r="P62" s="306"/>
      <c r="Q62" s="306"/>
      <c r="R62" s="299"/>
    </row>
    <row r="63" spans="1:58" s="206" customFormat="1" ht="25.9" customHeight="1" collapsed="1" x14ac:dyDescent="0.25">
      <c r="B63" s="914" t="s">
        <v>407</v>
      </c>
      <c r="C63" s="306">
        <f>((C67+C70+C73+C76+C79+C82+C85+C88+'R&amp;C-Painel de Controle'!H21)+('R&amp;C-Painel de Controle'!$K$77*$H$27/5+'R&amp;C-Painel de Controle'!$K$75*$H$27/20+'R&amp;C-Painel de Controle'!$D$29+'R&amp;C-Painel de Controle'!$D$30)/3*(1+$C$62))</f>
        <v>57.387502756210623</v>
      </c>
      <c r="D63" s="306">
        <f>((D67+D70+D73+D76+D79+D82+D85+D88+'R&amp;C-Painel de Controle'!I21)+('R&amp;C-Painel de Controle'!$K$77*$H$27/5+'R&amp;C-Painel de Controle'!$K$75*$H$27/20+'R&amp;C-Painel de Controle'!$D$29+'R&amp;C-Painel de Controle'!$D$30)/3*(1+$C$62))</f>
        <v>68.677705059710732</v>
      </c>
      <c r="E63" s="306">
        <f>((E67+E70+E73+E76+E79+E82+E85+E88+'R&amp;C-Painel de Controle'!J21)+('R&amp;C-Painel de Controle'!$K$77*$H$27/5+'R&amp;C-Painel de Controle'!$K$75*$H$27/20+'R&amp;C-Painel de Controle'!$D$29+'R&amp;C-Painel de Controle'!$D$30)/3*(1+$C$62))</f>
        <v>79.317581237723729</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25">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25">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25">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25">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25">
      <c r="B68" s="906" t="str">
        <f>'R&amp;C-Painel de Controle'!F55</f>
        <v>Triagem Mecanizada</v>
      </c>
      <c r="C68" s="325" t="str">
        <f>'R&amp;C-Painel de Controle'!G55</f>
        <v>Sim</v>
      </c>
      <c r="D68" s="336">
        <f>'R&amp;C-Painel de Controle'!K55</f>
        <v>77.857190201484556</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25">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25">
      <c r="B70" s="277" t="s">
        <v>408</v>
      </c>
      <c r="C70" s="333">
        <f>C69*$D$68</f>
        <v>23.357157060445367</v>
      </c>
      <c r="D70" s="333">
        <f>D69*$D$68</f>
        <v>15.571438040296911</v>
      </c>
      <c r="E70" s="333">
        <f>E69*$D$68</f>
        <v>38.928595100742278</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25">
      <c r="B71" s="906" t="str">
        <f>'R&amp;C-Painel de Controle'!F58</f>
        <v>Produção de CDR TM — Trat. Mec.</v>
      </c>
      <c r="C71" s="325" t="str">
        <f>'R&amp;C-Painel de Controle'!G58</f>
        <v>Sim</v>
      </c>
      <c r="D71" s="336">
        <f>'R&amp;C-Painel de Controle'!K58</f>
        <v>24.477469026953049</v>
      </c>
    </row>
    <row r="72" spans="2:55" s="206" customFormat="1" ht="18" hidden="1" customHeight="1" outlineLevel="1" x14ac:dyDescent="0.25">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25">
      <c r="B73" s="277" t="s">
        <v>408</v>
      </c>
      <c r="C73" s="333">
        <f t="shared" ref="C73:BC73" si="35">C72*$D$71</f>
        <v>4.8954938053906103</v>
      </c>
      <c r="D73" s="334">
        <f t="shared" si="35"/>
        <v>12.238734513476524</v>
      </c>
      <c r="E73" s="333">
        <f t="shared" si="35"/>
        <v>7.3432407080859141</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25">
      <c r="B74" s="906" t="str">
        <f>'R&amp;C-Painel de Controle'!F61</f>
        <v>Prod. CDR TMB — Trat. Mec./Biológ.</v>
      </c>
      <c r="C74" s="325" t="str">
        <f>'R&amp;C-Painel de Controle'!G61</f>
        <v>Não</v>
      </c>
      <c r="D74" s="336">
        <f>'R&amp;C-Painel de Controle'!K61</f>
        <v>0</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25">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25">
      <c r="B76" s="277" t="s">
        <v>408</v>
      </c>
      <c r="C76" s="333">
        <f t="shared" ref="C76:BC76" si="36">C75*$D$74</f>
        <v>0</v>
      </c>
      <c r="D76" s="334">
        <f t="shared" si="36"/>
        <v>0</v>
      </c>
      <c r="E76" s="333">
        <f t="shared" si="36"/>
        <v>0</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25">
      <c r="B77" s="906" t="str">
        <f>'R&amp;C-Painel de Controle'!F64</f>
        <v>Biodigestão Anaeróbia</v>
      </c>
      <c r="C77" s="325" t="str">
        <f>'R&amp;C-Painel de Controle'!G64</f>
        <v>Não'</v>
      </c>
      <c r="D77" s="336">
        <f>'R&amp;C-Painel de Controle'!K64</f>
        <v>0</v>
      </c>
    </row>
    <row r="78" spans="2:55" s="206" customFormat="1" ht="18" hidden="1" customHeight="1" outlineLevel="1" x14ac:dyDescent="0.25">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25">
      <c r="B79" s="277" t="s">
        <v>408</v>
      </c>
      <c r="C79" s="333">
        <f t="shared" ref="C79:BC79" si="37">C78*$D$77</f>
        <v>0</v>
      </c>
      <c r="D79" s="334">
        <f t="shared" si="37"/>
        <v>0</v>
      </c>
      <c r="E79" s="333">
        <f t="shared" si="37"/>
        <v>0</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25">
      <c r="B80" s="906" t="str">
        <f>'R&amp;C-Painel de Controle'!F67</f>
        <v>Compostagem</v>
      </c>
      <c r="C80" s="325" t="str">
        <f>'R&amp;C-Painel de Controle'!G67</f>
        <v>Sim</v>
      </c>
      <c r="D80" s="336">
        <f>'R&amp;C-Painel de Controle'!K67</f>
        <v>19.483845674225673</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25">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25">
      <c r="B82" s="277" t="s">
        <v>408</v>
      </c>
      <c r="C82" s="333">
        <f t="shared" ref="C82:BC82" si="38">C81*$D$80</f>
        <v>3.896769134845135</v>
      </c>
      <c r="D82" s="334">
        <f t="shared" si="38"/>
        <v>9.7419228371128366</v>
      </c>
      <c r="E82" s="332">
        <f t="shared" si="38"/>
        <v>5.8451537022677016</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25">
      <c r="B83" s="906" t="str">
        <f>'R&amp;C-Painel de Controle'!F70</f>
        <v>Incineração</v>
      </c>
      <c r="C83" s="325" t="str">
        <f>'R&amp;C-Painel de Controle'!G70</f>
        <v>Não</v>
      </c>
      <c r="D83" s="336">
        <f>'R&amp;C-Painel de Controle'!K70</f>
        <v>0</v>
      </c>
    </row>
    <row r="84" spans="1:58" s="206" customFormat="1" ht="18" hidden="1" customHeight="1" outlineLevel="1" x14ac:dyDescent="0.25">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25">
      <c r="B85" s="277" t="s">
        <v>408</v>
      </c>
      <c r="C85" s="333">
        <f t="shared" ref="C85:BC85" si="39">C84*$D$83</f>
        <v>0</v>
      </c>
      <c r="D85" s="334">
        <f t="shared" si="39"/>
        <v>0</v>
      </c>
      <c r="E85" s="332">
        <f t="shared" si="39"/>
        <v>0</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25">
      <c r="B86" s="906" t="str">
        <f>'R&amp;C-Painel de Controle'!F73</f>
        <v>Aterro Sanitário</v>
      </c>
      <c r="C86" s="325" t="str">
        <f>'R&amp;C-Painel de Controle'!G73</f>
        <v>Sim</v>
      </c>
      <c r="D86" s="336">
        <f>'R&amp;C-Painel de Controle'!K73</f>
        <v>19.625089710983175</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25">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25">
      <c r="B88" s="277" t="s">
        <v>408</v>
      </c>
      <c r="C88" s="333">
        <f t="shared" ref="C88:BC88" si="40">C87*$D$86</f>
        <v>3.9250179421966354</v>
      </c>
      <c r="D88" s="334">
        <f t="shared" si="40"/>
        <v>9.8125448554915877</v>
      </c>
      <c r="E88" s="332">
        <f t="shared" si="40"/>
        <v>5.8875269132949528</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25">
      <c r="B89" s="324"/>
      <c r="R89" s="299"/>
    </row>
    <row r="90" spans="1:58" s="206" customFormat="1" ht="25.9" customHeight="1" collapsed="1" x14ac:dyDescent="0.25">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24.385415822833174</v>
      </c>
      <c r="G90" s="306">
        <f>IF('R&amp;C-Painel de Controle'!$D$24="Não",G94+G97+G100+G103+G106+G109+G112+G115,G94+G97+G100+G103+G106+G109+G112+G115+'R&amp;C-Painel de Controle'!$L$91)</f>
        <v>24.385415822833174</v>
      </c>
      <c r="H90" s="306">
        <f>IF('R&amp;C-Painel de Controle'!$D$24="Não",H94+H97+H100+H103+H106+H109+H112+H115,H94+H97+H100+H103+H106+H109+H112+H115+'R&amp;C-Painel de Controle'!$L$91)</f>
        <v>24.385415822833174</v>
      </c>
      <c r="I90" s="306">
        <f>IF('R&amp;C-Painel de Controle'!$D$24="Não",I94+I97+I100+I103+I106+I109+I112+I115,I94+I97+I100+I103+I106+I109+I112+I115+'R&amp;C-Painel de Controle'!$L$91)</f>
        <v>24.385415822833174</v>
      </c>
      <c r="J90" s="306">
        <f>IF('R&amp;C-Painel de Controle'!$D$24="Não",J94+J97+J100+J103+J106+J109+J112+J115,J94+J97+J100+J103+J106+J109+J112+J115+'R&amp;C-Painel de Controle'!$L$91)</f>
        <v>24.385415822833174</v>
      </c>
      <c r="K90" s="306">
        <f>IF('R&amp;C-Painel de Controle'!$D$24="Não",K94+K97+K100+K103+K106+K109+K112+K115,K94+K97+K100+K103+K106+K109+K112+K115+'R&amp;C-Painel de Controle'!$L$91)</f>
        <v>24.385415822833174</v>
      </c>
      <c r="L90" s="306">
        <f>IF('R&amp;C-Painel de Controle'!$D$24="Não",L94+L97+L100+L103+L106+L109+L112+L115,L94+L97+L100+L103+L106+L109+L112+L115+'R&amp;C-Painel de Controle'!$L$91)</f>
        <v>24.385415822833174</v>
      </c>
      <c r="M90" s="306">
        <f>IF('R&amp;C-Painel de Controle'!$D$24="Não",M94+M97+M100+M103+M106+M109+M112+M115,M94+M97+M100+M103+M106+M109+M112+M115+'R&amp;C-Painel de Controle'!$L$91)</f>
        <v>24.385415822833174</v>
      </c>
      <c r="N90" s="306">
        <f>IF('R&amp;C-Painel de Controle'!$D$24="Não",N94+N97+N100+N103+N106+N109+N112+N115,N94+N97+N100+N103+N106+N109+N112+N115+'R&amp;C-Painel de Controle'!$L$91)</f>
        <v>24.385415822833174</v>
      </c>
      <c r="O90" s="306">
        <f>IF('R&amp;C-Painel de Controle'!$D$24="Não",O94+O97+O100+O103+O106+O109+O112+O115,O94+O97+O100+O103+O106+O109+O112+O115+'R&amp;C-Painel de Controle'!$L$91)</f>
        <v>24.385415822833174</v>
      </c>
      <c r="P90" s="306">
        <f>IF('R&amp;C-Painel de Controle'!$D$24="Não",P94+P97+P100+P103+P106+P109+P112+P115,P94+P97+P100+P103+P106+P109+P112+P115+'R&amp;C-Painel de Controle'!$L$91)</f>
        <v>24.385415822833174</v>
      </c>
      <c r="Q90" s="306">
        <f>IF('R&amp;C-Painel de Controle'!$D$24="Não",Q94+Q97+Q100+Q103+Q106+Q109+Q112+Q115,Q94+Q97+Q100+Q103+Q106+Q109+Q112+Q115+'R&amp;C-Painel de Controle'!$L$91)</f>
        <v>24.385415822833174</v>
      </c>
      <c r="R90" s="306">
        <f>IF('R&amp;C-Painel de Controle'!$D$24="Não",R94+R97+R100+R103+R106+R109+R112+R115,R94+R97+R100+R103+R106+R109+R112+R115+'R&amp;C-Painel de Controle'!$L$91)</f>
        <v>24.385415822833174</v>
      </c>
      <c r="S90" s="306">
        <f>IF('R&amp;C-Painel de Controle'!$D$24="Não",S94+S97+S100+S103+S106+S109+S112+S115,S94+S97+S100+S103+S106+S109+S112+S115+'R&amp;C-Painel de Controle'!$L$91)</f>
        <v>24.385415822833174</v>
      </c>
      <c r="T90" s="306">
        <f>IF('R&amp;C-Painel de Controle'!$D$24="Não",T94+T97+T100+T103+T106+T109+T112+T115,T94+T97+T100+T103+T106+T109+T112+T115+'R&amp;C-Painel de Controle'!$L$91)</f>
        <v>24.385415822833174</v>
      </c>
      <c r="U90" s="306">
        <f>IF('R&amp;C-Painel de Controle'!$D$24="Não",U94+U97+U100+U103+U106+U109+U112+U115,U94+U97+U100+U103+U106+U109+U112+U115+'R&amp;C-Painel de Controle'!$L$91)</f>
        <v>24.385415822833174</v>
      </c>
      <c r="V90" s="306">
        <f>IF('R&amp;C-Painel de Controle'!$D$24="Não",V94+V97+V100+V103+V106+V109+V112+V115,V94+V97+V100+V103+V106+V109+V112+V115+'R&amp;C-Painel de Controle'!$L$91)</f>
        <v>24.385415822833174</v>
      </c>
      <c r="W90" s="306">
        <f>IF('R&amp;C-Painel de Controle'!$D$24="Não",W94+W97+W100+W103+W106+W109+W112+W115,W94+W97+W100+W103+W106+W109+W112+W115+'R&amp;C-Painel de Controle'!$L$91)</f>
        <v>24.385415822833174</v>
      </c>
      <c r="X90" s="306">
        <f>IF('R&amp;C-Painel de Controle'!$D$24="Não",X94+X97+X100+X103+X106+X109+X112+X115,X94+X97+X100+X103+X106+X109+X112+X115+'R&amp;C-Painel de Controle'!$L$91)</f>
        <v>24.385415822833174</v>
      </c>
      <c r="Y90" s="306">
        <f>IF('R&amp;C-Painel de Controle'!$D$24="Não",Y94+Y97+Y100+Y103+Y106+Y109+Y112+Y115,Y94+Y97+Y100+Y103+Y106+Y109+Y112+Y115+'R&amp;C-Painel de Controle'!$L$91)</f>
        <v>24.385415822833174</v>
      </c>
      <c r="Z90" s="306">
        <f>IF('R&amp;C-Painel de Controle'!$D$24="Não",Z94+Z97+Z100+Z103+Z106+Z109+Z112+Z115,Z94+Z97+Z100+Z103+Z106+Z109+Z112+Z115+'R&amp;C-Painel de Controle'!$L$91)</f>
        <v>24.385415822833174</v>
      </c>
      <c r="AA90" s="306">
        <f>IF('R&amp;C-Painel de Controle'!$D$24="Não",AA94+AA97+AA100+AA103+AA106+AA109+AA112+AA115,AA94+AA97+AA100+AA103+AA106+AA109+AA112+AA115+'R&amp;C-Painel de Controle'!$L$91)</f>
        <v>24.385415822833174</v>
      </c>
      <c r="AB90" s="306">
        <f>IF('R&amp;C-Painel de Controle'!$D$24="Não",AB94+AB97+AB100+AB103+AB106+AB109+AB112+AB115,AB94+AB97+AB100+AB103+AB106+AB109+AB112+AB115+'R&amp;C-Painel de Controle'!$L$91)</f>
        <v>24.385415822833174</v>
      </c>
      <c r="AC90" s="306">
        <f>IF('R&amp;C-Painel de Controle'!$D$24="Não",AC94+AC97+AC100+AC103+AC106+AC109+AC112+AC115,AC94+AC97+AC100+AC103+AC106+AC109+AC112+AC115+'R&amp;C-Painel de Controle'!$L$91)</f>
        <v>24.385415822833174</v>
      </c>
      <c r="AD90" s="306">
        <f>IF('R&amp;C-Painel de Controle'!$D$24="Não",AD94+AD97+AD100+AD103+AD106+AD109+AD112+AD115,AD94+AD97+AD100+AD103+AD106+AD109+AD112+AD115+'R&amp;C-Painel de Controle'!$L$91)</f>
        <v>24.385415822833174</v>
      </c>
      <c r="AE90" s="306">
        <f>IF('R&amp;C-Painel de Controle'!$D$24="Não",AE94+AE97+AE100+AE103+AE106+AE109+AE112+AE115,AE94+AE97+AE100+AE103+AE106+AE109+AE112+AE115+'R&amp;C-Painel de Controle'!$L$91)</f>
        <v>24.385415822833174</v>
      </c>
      <c r="AF90" s="306">
        <f>IF('R&amp;C-Painel de Controle'!$D$24="Não",AF94+AF97+AF100+AF103+AF106+AF109+AF112+AF115,AF94+AF97+AF100+AF103+AF106+AF109+AF112+AF115+'R&amp;C-Painel de Controle'!$L$91)</f>
        <v>24.385415822833174</v>
      </c>
      <c r="AG90" s="306">
        <f>IF('R&amp;C-Painel de Controle'!$D$24="Não",AG94+AG97+AG100+AG103+AG106+AG109+AG112+AG115,AG94+AG97+AG100+AG103+AG106+AG109+AG112+AG115+'R&amp;C-Painel de Controle'!$L$91)</f>
        <v>24.385415822833174</v>
      </c>
      <c r="AH90" s="306">
        <f>IF('R&amp;C-Painel de Controle'!$D$24="Não",AH94+AH97+AH100+AH103+AH106+AH109+AH112+AH115,AH94+AH97+AH100+AH103+AH106+AH109+AH112+AH115+'R&amp;C-Painel de Controle'!$L$91)</f>
        <v>24.385415822833174</v>
      </c>
      <c r="AI90" s="306">
        <f>IF('R&amp;C-Painel de Controle'!$D$24="Não",AI94+AI97+AI100+AI103+AI106+AI109+AI112+AI115,AI94+AI97+AI100+AI103+AI106+AI109+AI112+AI115+'R&amp;C-Painel de Controle'!$L$91)</f>
        <v>24.385415822833174</v>
      </c>
      <c r="AJ90" s="306">
        <f>IF('R&amp;C-Painel de Controle'!$D$24="Não",AJ94+AJ97+AJ100+AJ103+AJ106+AJ109+AJ112+AJ115,AJ94+AJ97+AJ100+AJ103+AJ106+AJ109+AJ112+AJ115+'R&amp;C-Painel de Controle'!$L$91)</f>
        <v>24.385415822833174</v>
      </c>
      <c r="AK90" s="306">
        <f>IF('R&amp;C-Painel de Controle'!$D$24="Não",AK94+AK97+AK100+AK103+AK106+AK109+AK112+AK115,AK94+AK97+AK100+AK103+AK106+AK109+AK112+AK115+'R&amp;C-Painel de Controle'!$L$91)</f>
        <v>24.385415822833174</v>
      </c>
      <c r="AL90" s="306">
        <f>IF('R&amp;C-Painel de Controle'!$D$24="Não",AL94+AL97+AL100+AL103+AL106+AL109+AL112+AL115,AL94+AL97+AL100+AL103+AL106+AL109+AL112+AL115+'R&amp;C-Painel de Controle'!$L$91)</f>
        <v>24.385415822833174</v>
      </c>
      <c r="AM90" s="306">
        <f>IF('R&amp;C-Painel de Controle'!$D$24="Não",AM94+AM97+AM100+AM103+AM106+AM109+AM112+AM115,AM94+AM97+AM100+AM103+AM106+AM109+AM112+AM115+'R&amp;C-Painel de Controle'!$L$91)</f>
        <v>24.385415822833174</v>
      </c>
      <c r="AN90" s="306">
        <f>IF('R&amp;C-Painel de Controle'!$D$24="Não",AN94+AN97+AN100+AN103+AN106+AN109+AN112+AN115,AN94+AN97+AN100+AN103+AN106+AN109+AN112+AN115+'R&amp;C-Painel de Controle'!$L$91)</f>
        <v>24.385415822833174</v>
      </c>
      <c r="AO90" s="306">
        <f>IF('R&amp;C-Painel de Controle'!$D$24="Não",AO94+AO97+AO100+AO103+AO106+AO109+AO112+AO115,AO94+AO97+AO100+AO103+AO106+AO109+AO112+AO115+'R&amp;C-Painel de Controle'!$L$91)</f>
        <v>24.385415822833174</v>
      </c>
      <c r="AP90" s="306">
        <f>IF('R&amp;C-Painel de Controle'!$D$24="Não",AP94+AP97+AP100+AP103+AP106+AP109+AP112+AP115,AP94+AP97+AP100+AP103+AP106+AP109+AP112+AP115+'R&amp;C-Painel de Controle'!$L$91)</f>
        <v>24.385415822833174</v>
      </c>
      <c r="AQ90" s="306">
        <f>IF('R&amp;C-Painel de Controle'!$D$24="Não",AQ94+AQ97+AQ100+AQ103+AQ106+AQ109+AQ112+AQ115,AQ94+AQ97+AQ100+AQ103+AQ106+AQ109+AQ112+AQ115+'R&amp;C-Painel de Controle'!$L$91)</f>
        <v>24.385415822833174</v>
      </c>
      <c r="AR90" s="306">
        <f>IF('R&amp;C-Painel de Controle'!$D$24="Não",AR94+AR97+AR100+AR103+AR106+AR109+AR112+AR115,AR94+AR97+AR100+AR103+AR106+AR109+AR112+AR115+'R&amp;C-Painel de Controle'!$L$91)</f>
        <v>24.385415822833174</v>
      </c>
      <c r="AS90" s="306">
        <f>IF('R&amp;C-Painel de Controle'!$D$24="Não",AS94+AS97+AS100+AS103+AS106+AS109+AS112+AS115,AS94+AS97+AS100+AS103+AS106+AS109+AS112+AS115+'R&amp;C-Painel de Controle'!$L$91)</f>
        <v>24.385415822833174</v>
      </c>
      <c r="AT90" s="306">
        <f>IF('R&amp;C-Painel de Controle'!$D$24="Não",AT94+AT97+AT100+AT103+AT106+AT109+AT112+AT115,AT94+AT97+AT100+AT103+AT106+AT109+AT112+AT115+'R&amp;C-Painel de Controle'!$L$91)</f>
        <v>24.385415822833174</v>
      </c>
      <c r="AU90" s="306">
        <f>IF('R&amp;C-Painel de Controle'!$D$24="Não",AU94+AU97+AU100+AU103+AU106+AU109+AU112+AU115,AU94+AU97+AU100+AU103+AU106+AU109+AU112+AU115+'R&amp;C-Painel de Controle'!$L$91)</f>
        <v>24.385415822833174</v>
      </c>
      <c r="AV90" s="306">
        <f>IF('R&amp;C-Painel de Controle'!$D$24="Não",AV94+AV97+AV100+AV103+AV106+AV109+AV112+AV115,AV94+AV97+AV100+AV103+AV106+AV109+AV112+AV115+'R&amp;C-Painel de Controle'!$L$91)</f>
        <v>24.385415822833174</v>
      </c>
      <c r="AW90" s="306">
        <f>IF('R&amp;C-Painel de Controle'!$D$24="Não",AW94+AW97+AW100+AW103+AW106+AW109+AW112+AW115,AW94+AW97+AW100+AW103+AW106+AW109+AW112+AW115+'R&amp;C-Painel de Controle'!$L$91)</f>
        <v>24.385415822833174</v>
      </c>
      <c r="AX90" s="306">
        <f>IF('R&amp;C-Painel de Controle'!$D$24="Não",AX94+AX97+AX100+AX103+AX106+AX109+AX112+AX115,AX94+AX97+AX100+AX103+AX106+AX109+AX112+AX115+'R&amp;C-Painel de Controle'!$L$91)</f>
        <v>24.385415822833174</v>
      </c>
      <c r="AY90" s="306">
        <f>IF('R&amp;C-Painel de Controle'!$D$24="Não",AY94+AY97+AY100+AY103+AY106+AY109+AY112+AY115,AY94+AY97+AY100+AY103+AY106+AY109+AY112+AY115+'R&amp;C-Painel de Controle'!$L$91)</f>
        <v>24.385415822833174</v>
      </c>
      <c r="AZ90" s="306">
        <f>IF('R&amp;C-Painel de Controle'!$D$24="Não",AZ94+AZ97+AZ100+AZ103+AZ106+AZ109+AZ112+AZ115,AZ94+AZ97+AZ100+AZ103+AZ106+AZ109+AZ112+AZ115+'R&amp;C-Painel de Controle'!$L$91)</f>
        <v>24.385415822833174</v>
      </c>
      <c r="BA90" s="306">
        <f>IF('R&amp;C-Painel de Controle'!$D$24="Não",BA94+BA97+BA100+BA103+BA106+BA109+BA112+BA115,BA94+BA97+BA100+BA103+BA106+BA109+BA112+BA115+'R&amp;C-Painel de Controle'!$L$91)</f>
        <v>24.385415822833174</v>
      </c>
      <c r="BB90" s="306">
        <f>IF('R&amp;C-Painel de Controle'!$D$24="Não",BB94+BB97+BB100+BB103+BB106+BB109+BB112+BB115,BB94+BB97+BB100+BB103+BB106+BB109+BB112+BB115+'R&amp;C-Painel de Controle'!$L$91)</f>
        <v>24.385415822833174</v>
      </c>
      <c r="BC90" s="306">
        <f>IF('R&amp;C-Painel de Controle'!$D$24="Não",BC94+BC97+BC100+BC103+BC106+BC109+BC112+BC115,BC94+BC97+BC100+BC103+BC106+BC109+BC112+BC115+'R&amp;C-Painel de Controle'!$L$91)</f>
        <v>24.385415822833174</v>
      </c>
    </row>
    <row r="91" spans="1:58" s="206" customFormat="1" ht="18" hidden="1" customHeight="1" outlineLevel="1" x14ac:dyDescent="0.25">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25">
      <c r="B92" s="906" t="str">
        <f>B65</f>
        <v>Triagem Manual — Seletivos</v>
      </c>
      <c r="C92" s="325" t="str">
        <f>C37</f>
        <v>Não</v>
      </c>
      <c r="D92" s="325">
        <f>D37</f>
        <v>0</v>
      </c>
      <c r="E92" s="1479"/>
      <c r="R92" s="299"/>
    </row>
    <row r="93" spans="1:58" s="206" customFormat="1" ht="18" hidden="1" customHeight="1" outlineLevel="1" x14ac:dyDescent="0.25">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25">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25">
      <c r="B95" s="906" t="str">
        <f>B68</f>
        <v>Triagem Mecanizada</v>
      </c>
      <c r="C95" s="325" t="str">
        <f>C40</f>
        <v>Sim</v>
      </c>
      <c r="D95" s="325">
        <f>D40</f>
        <v>146467.94871794875</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25">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25">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12.123928617820592</v>
      </c>
      <c r="G97" s="327">
        <f>IF(G42&gt;0,'R&amp;C-Painel de Controle'!$O57+'R&amp;C-Painel de Controle'!$P57*G42/1000000,0)</f>
        <v>12.123928617820592</v>
      </c>
      <c r="H97" s="327">
        <f>IF(H42&gt;0,'R&amp;C-Painel de Controle'!$O57+'R&amp;C-Painel de Controle'!$P57*H42/1000000,0)</f>
        <v>12.123928617820592</v>
      </c>
      <c r="I97" s="327">
        <f>IF(I42&gt;0,'R&amp;C-Painel de Controle'!$O57+'R&amp;C-Painel de Controle'!$P57*I42/1000000,0)</f>
        <v>12.123928617820592</v>
      </c>
      <c r="J97" s="327">
        <f>IF(J42&gt;0,'R&amp;C-Painel de Controle'!$O57+'R&amp;C-Painel de Controle'!$P57*J42/1000000,0)</f>
        <v>12.123928617820592</v>
      </c>
      <c r="K97" s="327">
        <f>IF(K42&gt;0,'R&amp;C-Painel de Controle'!$O57+'R&amp;C-Painel de Controle'!$P57*K42/1000000,0)</f>
        <v>12.123928617820592</v>
      </c>
      <c r="L97" s="327">
        <f>IF(L42&gt;0,'R&amp;C-Painel de Controle'!$O57+'R&amp;C-Painel de Controle'!$P57*L42/1000000,0)</f>
        <v>12.123928617820592</v>
      </c>
      <c r="M97" s="327">
        <f>IF(M42&gt;0,'R&amp;C-Painel de Controle'!$O57+'R&amp;C-Painel de Controle'!$P57*M42/1000000,0)</f>
        <v>12.123928617820592</v>
      </c>
      <c r="N97" s="327">
        <f>IF(N42&gt;0,'R&amp;C-Painel de Controle'!$O57+'R&amp;C-Painel de Controle'!$P57*N42/1000000,0)</f>
        <v>12.123928617820592</v>
      </c>
      <c r="O97" s="327">
        <f>IF(O42&gt;0,'R&amp;C-Painel de Controle'!$O57+'R&amp;C-Painel de Controle'!$P57*O42/1000000,0)</f>
        <v>12.123928617820592</v>
      </c>
      <c r="P97" s="327">
        <f>IF(P42&gt;0,'R&amp;C-Painel de Controle'!$O57+'R&amp;C-Painel de Controle'!$P57*P42/1000000,0)</f>
        <v>12.123928617820592</v>
      </c>
      <c r="Q97" s="327">
        <f>IF(Q42&gt;0,'R&amp;C-Painel de Controle'!$O57+'R&amp;C-Painel de Controle'!$P57*Q42/1000000,0)</f>
        <v>12.123928617820592</v>
      </c>
      <c r="R97" s="305">
        <f t="shared" ref="R97:BC97" si="42">Q97</f>
        <v>12.123928617820592</v>
      </c>
      <c r="S97" s="305">
        <f t="shared" si="42"/>
        <v>12.123928617820592</v>
      </c>
      <c r="T97" s="305">
        <f t="shared" si="42"/>
        <v>12.123928617820592</v>
      </c>
      <c r="U97" s="305">
        <f t="shared" si="42"/>
        <v>12.123928617820592</v>
      </c>
      <c r="V97" s="305">
        <f t="shared" si="42"/>
        <v>12.123928617820592</v>
      </c>
      <c r="W97" s="305">
        <f t="shared" si="42"/>
        <v>12.123928617820592</v>
      </c>
      <c r="X97" s="305">
        <f t="shared" si="42"/>
        <v>12.123928617820592</v>
      </c>
      <c r="Y97" s="305">
        <f t="shared" si="42"/>
        <v>12.123928617820592</v>
      </c>
      <c r="Z97" s="305">
        <f t="shared" si="42"/>
        <v>12.123928617820592</v>
      </c>
      <c r="AA97" s="305">
        <f t="shared" si="42"/>
        <v>12.123928617820592</v>
      </c>
      <c r="AB97" s="305">
        <f t="shared" si="42"/>
        <v>12.123928617820592</v>
      </c>
      <c r="AC97" s="305">
        <f t="shared" si="42"/>
        <v>12.123928617820592</v>
      </c>
      <c r="AD97" s="305">
        <f t="shared" si="42"/>
        <v>12.123928617820592</v>
      </c>
      <c r="AE97" s="305">
        <f t="shared" si="42"/>
        <v>12.123928617820592</v>
      </c>
      <c r="AF97" s="305">
        <f t="shared" si="42"/>
        <v>12.123928617820592</v>
      </c>
      <c r="AG97" s="305">
        <f t="shared" si="42"/>
        <v>12.123928617820592</v>
      </c>
      <c r="AH97" s="305">
        <f t="shared" si="42"/>
        <v>12.123928617820592</v>
      </c>
      <c r="AI97" s="305">
        <f t="shared" si="42"/>
        <v>12.123928617820592</v>
      </c>
      <c r="AJ97" s="305">
        <f t="shared" si="42"/>
        <v>12.123928617820592</v>
      </c>
      <c r="AK97" s="305">
        <f t="shared" si="42"/>
        <v>12.123928617820592</v>
      </c>
      <c r="AL97" s="305">
        <f t="shared" si="42"/>
        <v>12.123928617820592</v>
      </c>
      <c r="AM97" s="305">
        <f t="shared" si="42"/>
        <v>12.123928617820592</v>
      </c>
      <c r="AN97" s="305">
        <f t="shared" si="42"/>
        <v>12.123928617820592</v>
      </c>
      <c r="AO97" s="305">
        <f t="shared" si="42"/>
        <v>12.123928617820592</v>
      </c>
      <c r="AP97" s="305">
        <f t="shared" si="42"/>
        <v>12.123928617820592</v>
      </c>
      <c r="AQ97" s="305">
        <f t="shared" si="42"/>
        <v>12.123928617820592</v>
      </c>
      <c r="AR97" s="305">
        <f t="shared" si="42"/>
        <v>12.123928617820592</v>
      </c>
      <c r="AS97" s="305">
        <f t="shared" si="42"/>
        <v>12.123928617820592</v>
      </c>
      <c r="AT97" s="305">
        <f t="shared" si="42"/>
        <v>12.123928617820592</v>
      </c>
      <c r="AU97" s="305">
        <f t="shared" si="42"/>
        <v>12.123928617820592</v>
      </c>
      <c r="AV97" s="305">
        <f t="shared" si="42"/>
        <v>12.123928617820592</v>
      </c>
      <c r="AW97" s="305">
        <f t="shared" si="42"/>
        <v>12.123928617820592</v>
      </c>
      <c r="AX97" s="305">
        <f t="shared" si="42"/>
        <v>12.123928617820592</v>
      </c>
      <c r="AY97" s="305">
        <f t="shared" si="42"/>
        <v>12.123928617820592</v>
      </c>
      <c r="AZ97" s="305">
        <f t="shared" si="42"/>
        <v>12.123928617820592</v>
      </c>
      <c r="BA97" s="305">
        <f t="shared" si="42"/>
        <v>12.123928617820592</v>
      </c>
      <c r="BB97" s="305">
        <f t="shared" si="42"/>
        <v>12.123928617820592</v>
      </c>
      <c r="BC97" s="305">
        <f t="shared" si="42"/>
        <v>12.123928617820592</v>
      </c>
      <c r="BD97" s="305"/>
      <c r="BE97" s="305"/>
      <c r="BF97" s="305"/>
    </row>
    <row r="98" spans="2:58" s="206" customFormat="1" ht="18" hidden="1" customHeight="1" outlineLevel="1" x14ac:dyDescent="0.25">
      <c r="B98" s="906" t="str">
        <f>B71</f>
        <v>Produção de CDR TM — Trat. Mec.</v>
      </c>
      <c r="C98" s="325" t="str">
        <f>C43</f>
        <v>Sim</v>
      </c>
      <c r="D98" s="325">
        <f>D43</f>
        <v>55364.88461538461</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25">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25">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2.6961196849018552</v>
      </c>
      <c r="G100" s="327">
        <f>IF(G45&gt;0,'R&amp;C-Painel de Controle'!$O60+'R&amp;C-Painel de Controle'!$P60*G45/1000000,0)</f>
        <v>2.6961196849018552</v>
      </c>
      <c r="H100" s="327">
        <f>IF(H45&gt;0,'R&amp;C-Painel de Controle'!$O60+'R&amp;C-Painel de Controle'!$P60*H45/1000000,0)</f>
        <v>2.6961196849018552</v>
      </c>
      <c r="I100" s="327">
        <f>IF(I45&gt;0,'R&amp;C-Painel de Controle'!$O60+'R&amp;C-Painel de Controle'!$P60*I45/1000000,0)</f>
        <v>2.6961196849018552</v>
      </c>
      <c r="J100" s="327">
        <f>IF(J45&gt;0,'R&amp;C-Painel de Controle'!$O60+'R&amp;C-Painel de Controle'!$P60*J45/1000000,0)</f>
        <v>2.6961196849018552</v>
      </c>
      <c r="K100" s="327">
        <f>IF(K45&gt;0,'R&amp;C-Painel de Controle'!$O60+'R&amp;C-Painel de Controle'!$P60*K45/1000000,0)</f>
        <v>2.6961196849018552</v>
      </c>
      <c r="L100" s="327">
        <f>IF(L45&gt;0,'R&amp;C-Painel de Controle'!$O60+'R&amp;C-Painel de Controle'!$P60*L45/1000000,0)</f>
        <v>2.6961196849018552</v>
      </c>
      <c r="M100" s="327">
        <f>IF(M45&gt;0,'R&amp;C-Painel de Controle'!$O60+'R&amp;C-Painel de Controle'!$P60*M45/1000000,0)</f>
        <v>2.6961196849018552</v>
      </c>
      <c r="N100" s="327">
        <f>IF(N45&gt;0,'R&amp;C-Painel de Controle'!$O60+'R&amp;C-Painel de Controle'!$P60*N45/1000000,0)</f>
        <v>2.6961196849018552</v>
      </c>
      <c r="O100" s="327">
        <f>IF(O45&gt;0,'R&amp;C-Painel de Controle'!$O60+'R&amp;C-Painel de Controle'!$P60*O45/1000000,0)</f>
        <v>2.6961196849018552</v>
      </c>
      <c r="P100" s="327">
        <f>IF(P45&gt;0,'R&amp;C-Painel de Controle'!$O60+'R&amp;C-Painel de Controle'!$P60*P45/1000000,0)</f>
        <v>2.6961196849018552</v>
      </c>
      <c r="Q100" s="327">
        <f>IF(Q45&gt;0,'R&amp;C-Painel de Controle'!$O60+'R&amp;C-Painel de Controle'!$P60*Q45/1000000,0)</f>
        <v>2.6961196849018552</v>
      </c>
      <c r="R100" s="305">
        <f t="shared" ref="R100:BC100" si="43">Q100</f>
        <v>2.6961196849018552</v>
      </c>
      <c r="S100" s="305">
        <f t="shared" si="43"/>
        <v>2.6961196849018552</v>
      </c>
      <c r="T100" s="305">
        <f t="shared" si="43"/>
        <v>2.6961196849018552</v>
      </c>
      <c r="U100" s="305">
        <f t="shared" si="43"/>
        <v>2.6961196849018552</v>
      </c>
      <c r="V100" s="305">
        <f t="shared" si="43"/>
        <v>2.6961196849018552</v>
      </c>
      <c r="W100" s="305">
        <f t="shared" si="43"/>
        <v>2.6961196849018552</v>
      </c>
      <c r="X100" s="305">
        <f t="shared" si="43"/>
        <v>2.6961196849018552</v>
      </c>
      <c r="Y100" s="305">
        <f t="shared" si="43"/>
        <v>2.6961196849018552</v>
      </c>
      <c r="Z100" s="305">
        <f t="shared" si="43"/>
        <v>2.6961196849018552</v>
      </c>
      <c r="AA100" s="305">
        <f t="shared" si="43"/>
        <v>2.6961196849018552</v>
      </c>
      <c r="AB100" s="305">
        <f t="shared" si="43"/>
        <v>2.6961196849018552</v>
      </c>
      <c r="AC100" s="305">
        <f t="shared" si="43"/>
        <v>2.6961196849018552</v>
      </c>
      <c r="AD100" s="305">
        <f t="shared" si="43"/>
        <v>2.6961196849018552</v>
      </c>
      <c r="AE100" s="305">
        <f t="shared" si="43"/>
        <v>2.6961196849018552</v>
      </c>
      <c r="AF100" s="305">
        <f t="shared" si="43"/>
        <v>2.6961196849018552</v>
      </c>
      <c r="AG100" s="305">
        <f t="shared" si="43"/>
        <v>2.6961196849018552</v>
      </c>
      <c r="AH100" s="305">
        <f t="shared" si="43"/>
        <v>2.6961196849018552</v>
      </c>
      <c r="AI100" s="305">
        <f t="shared" si="43"/>
        <v>2.6961196849018552</v>
      </c>
      <c r="AJ100" s="305">
        <f t="shared" si="43"/>
        <v>2.6961196849018552</v>
      </c>
      <c r="AK100" s="305">
        <f t="shared" si="43"/>
        <v>2.6961196849018552</v>
      </c>
      <c r="AL100" s="305">
        <f t="shared" si="43"/>
        <v>2.6961196849018552</v>
      </c>
      <c r="AM100" s="305">
        <f t="shared" si="43"/>
        <v>2.6961196849018552</v>
      </c>
      <c r="AN100" s="305">
        <f t="shared" si="43"/>
        <v>2.6961196849018552</v>
      </c>
      <c r="AO100" s="305">
        <f t="shared" si="43"/>
        <v>2.6961196849018552</v>
      </c>
      <c r="AP100" s="305">
        <f t="shared" si="43"/>
        <v>2.6961196849018552</v>
      </c>
      <c r="AQ100" s="305">
        <f t="shared" si="43"/>
        <v>2.6961196849018552</v>
      </c>
      <c r="AR100" s="305">
        <f t="shared" si="43"/>
        <v>2.6961196849018552</v>
      </c>
      <c r="AS100" s="305">
        <f t="shared" si="43"/>
        <v>2.6961196849018552</v>
      </c>
      <c r="AT100" s="305">
        <f t="shared" si="43"/>
        <v>2.6961196849018552</v>
      </c>
      <c r="AU100" s="305">
        <f t="shared" si="43"/>
        <v>2.6961196849018552</v>
      </c>
      <c r="AV100" s="305">
        <f t="shared" si="43"/>
        <v>2.6961196849018552</v>
      </c>
      <c r="AW100" s="305">
        <f t="shared" si="43"/>
        <v>2.6961196849018552</v>
      </c>
      <c r="AX100" s="305">
        <f t="shared" si="43"/>
        <v>2.6961196849018552</v>
      </c>
      <c r="AY100" s="305">
        <f t="shared" si="43"/>
        <v>2.6961196849018552</v>
      </c>
      <c r="AZ100" s="305">
        <f t="shared" si="43"/>
        <v>2.6961196849018552</v>
      </c>
      <c r="BA100" s="305">
        <f t="shared" si="43"/>
        <v>2.6961196849018552</v>
      </c>
      <c r="BB100" s="305">
        <f t="shared" si="43"/>
        <v>2.6961196849018552</v>
      </c>
      <c r="BC100" s="305">
        <f t="shared" si="43"/>
        <v>2.6961196849018552</v>
      </c>
      <c r="BD100" s="305"/>
      <c r="BE100" s="305"/>
      <c r="BF100" s="305"/>
    </row>
    <row r="101" spans="2:58" s="206" customFormat="1" ht="18" hidden="1" customHeight="1" outlineLevel="1" x14ac:dyDescent="0.25">
      <c r="B101" s="906" t="str">
        <f>B74</f>
        <v>Prod. CDR TMB — Trat. Mec./Biológ.</v>
      </c>
      <c r="C101" s="325" t="str">
        <f>C46</f>
        <v>Não</v>
      </c>
      <c r="D101" s="325">
        <f>D46</f>
        <v>0</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25">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25">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0</v>
      </c>
      <c r="G103" s="327">
        <f>IF(G48&gt;0,'R&amp;C-Painel de Controle'!$O63+'R&amp;C-Painel de Controle'!$P63*G48/1000000,0)</f>
        <v>0</v>
      </c>
      <c r="H103" s="327">
        <f>IF(H48&gt;0,'R&amp;C-Painel de Controle'!$O63+'R&amp;C-Painel de Controle'!$P63*H48/1000000,0)</f>
        <v>0</v>
      </c>
      <c r="I103" s="327">
        <f>IF(I48&gt;0,'R&amp;C-Painel de Controle'!$O63+'R&amp;C-Painel de Controle'!$P63*I48/1000000,0)</f>
        <v>0</v>
      </c>
      <c r="J103" s="327">
        <f>IF(J48&gt;0,'R&amp;C-Painel de Controle'!$O63+'R&amp;C-Painel de Controle'!$P63*J48/1000000,0)</f>
        <v>0</v>
      </c>
      <c r="K103" s="327">
        <f>IF(K48&gt;0,'R&amp;C-Painel de Controle'!$O63+'R&amp;C-Painel de Controle'!$P63*K48/1000000,0)</f>
        <v>0</v>
      </c>
      <c r="L103" s="327">
        <f>IF(L48&gt;0,'R&amp;C-Painel de Controle'!$O63+'R&amp;C-Painel de Controle'!$P63*L48/1000000,0)</f>
        <v>0</v>
      </c>
      <c r="M103" s="327">
        <f>IF(M48&gt;0,'R&amp;C-Painel de Controle'!$O63+'R&amp;C-Painel de Controle'!$P63*M48/1000000,0)</f>
        <v>0</v>
      </c>
      <c r="N103" s="327">
        <f>IF(N48&gt;0,'R&amp;C-Painel de Controle'!$O63+'R&amp;C-Painel de Controle'!$P63*N48/1000000,0)</f>
        <v>0</v>
      </c>
      <c r="O103" s="327">
        <f>IF(O48&gt;0,'R&amp;C-Painel de Controle'!$O63+'R&amp;C-Painel de Controle'!$P63*O48/1000000,0)</f>
        <v>0</v>
      </c>
      <c r="P103" s="327">
        <f>IF(P48&gt;0,'R&amp;C-Painel de Controle'!$O63+'R&amp;C-Painel de Controle'!$P63*P48/1000000,0)</f>
        <v>0</v>
      </c>
      <c r="Q103" s="327">
        <f>IF(Q48&gt;0,'R&amp;C-Painel de Controle'!$O63+'R&amp;C-Painel de Controle'!$P63*Q48/1000000,0)</f>
        <v>0</v>
      </c>
      <c r="R103" s="305">
        <f t="shared" ref="R103:BC103" si="44">Q103</f>
        <v>0</v>
      </c>
      <c r="S103" s="305">
        <f t="shared" si="44"/>
        <v>0</v>
      </c>
      <c r="T103" s="305">
        <f t="shared" si="44"/>
        <v>0</v>
      </c>
      <c r="U103" s="305">
        <f t="shared" si="44"/>
        <v>0</v>
      </c>
      <c r="V103" s="305">
        <f t="shared" si="44"/>
        <v>0</v>
      </c>
      <c r="W103" s="305">
        <f t="shared" si="44"/>
        <v>0</v>
      </c>
      <c r="X103" s="305">
        <f t="shared" si="44"/>
        <v>0</v>
      </c>
      <c r="Y103" s="305">
        <f t="shared" si="44"/>
        <v>0</v>
      </c>
      <c r="Z103" s="305">
        <f t="shared" si="44"/>
        <v>0</v>
      </c>
      <c r="AA103" s="305">
        <f t="shared" si="44"/>
        <v>0</v>
      </c>
      <c r="AB103" s="305">
        <f t="shared" si="44"/>
        <v>0</v>
      </c>
      <c r="AC103" s="305">
        <f t="shared" si="44"/>
        <v>0</v>
      </c>
      <c r="AD103" s="305">
        <f t="shared" si="44"/>
        <v>0</v>
      </c>
      <c r="AE103" s="305">
        <f t="shared" si="44"/>
        <v>0</v>
      </c>
      <c r="AF103" s="305">
        <f t="shared" si="44"/>
        <v>0</v>
      </c>
      <c r="AG103" s="305">
        <f t="shared" si="44"/>
        <v>0</v>
      </c>
      <c r="AH103" s="305">
        <f t="shared" si="44"/>
        <v>0</v>
      </c>
      <c r="AI103" s="305">
        <f t="shared" si="44"/>
        <v>0</v>
      </c>
      <c r="AJ103" s="305">
        <f t="shared" si="44"/>
        <v>0</v>
      </c>
      <c r="AK103" s="305">
        <f t="shared" si="44"/>
        <v>0</v>
      </c>
      <c r="AL103" s="305">
        <f t="shared" si="44"/>
        <v>0</v>
      </c>
      <c r="AM103" s="305">
        <f t="shared" si="44"/>
        <v>0</v>
      </c>
      <c r="AN103" s="305">
        <f t="shared" si="44"/>
        <v>0</v>
      </c>
      <c r="AO103" s="305">
        <f t="shared" si="44"/>
        <v>0</v>
      </c>
      <c r="AP103" s="305">
        <f t="shared" si="44"/>
        <v>0</v>
      </c>
      <c r="AQ103" s="305">
        <f t="shared" si="44"/>
        <v>0</v>
      </c>
      <c r="AR103" s="305">
        <f t="shared" si="44"/>
        <v>0</v>
      </c>
      <c r="AS103" s="305">
        <f t="shared" si="44"/>
        <v>0</v>
      </c>
      <c r="AT103" s="305">
        <f t="shared" si="44"/>
        <v>0</v>
      </c>
      <c r="AU103" s="305">
        <f t="shared" si="44"/>
        <v>0</v>
      </c>
      <c r="AV103" s="305">
        <f t="shared" si="44"/>
        <v>0</v>
      </c>
      <c r="AW103" s="305">
        <f t="shared" si="44"/>
        <v>0</v>
      </c>
      <c r="AX103" s="305">
        <f t="shared" si="44"/>
        <v>0</v>
      </c>
      <c r="AY103" s="305">
        <f t="shared" si="44"/>
        <v>0</v>
      </c>
      <c r="AZ103" s="305">
        <f t="shared" si="44"/>
        <v>0</v>
      </c>
      <c r="BA103" s="305">
        <f t="shared" si="44"/>
        <v>0</v>
      </c>
      <c r="BB103" s="305">
        <f t="shared" si="44"/>
        <v>0</v>
      </c>
      <c r="BC103" s="305">
        <f t="shared" si="44"/>
        <v>0</v>
      </c>
      <c r="BD103" s="305"/>
      <c r="BE103" s="305"/>
      <c r="BF103" s="305"/>
    </row>
    <row r="104" spans="2:58" s="206" customFormat="1" ht="18" hidden="1" customHeight="1" outlineLevel="1" x14ac:dyDescent="0.25">
      <c r="B104" s="906" t="str">
        <f>B77</f>
        <v>Biodigestão Anaeróbia</v>
      </c>
      <c r="C104" s="325" t="str">
        <f>C49</f>
        <v>Não'</v>
      </c>
      <c r="D104" s="325">
        <f>D49</f>
        <v>0</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25">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25">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0</v>
      </c>
      <c r="G106" s="327">
        <f>IF(G51&gt;0,'R&amp;C-Painel de Controle'!$O66+'R&amp;C-Painel de Controle'!$P66*G51/1000000,0)</f>
        <v>0</v>
      </c>
      <c r="H106" s="327">
        <f>IF(H51&gt;0,'R&amp;C-Painel de Controle'!$O66+'R&amp;C-Painel de Controle'!$P66*H51/1000000,0)</f>
        <v>0</v>
      </c>
      <c r="I106" s="327">
        <f>IF(I51&gt;0,'R&amp;C-Painel de Controle'!$O66+'R&amp;C-Painel de Controle'!$P66*I51/1000000,0)</f>
        <v>0</v>
      </c>
      <c r="J106" s="327">
        <f>IF(J51&gt;0,'R&amp;C-Painel de Controle'!$O66+'R&amp;C-Painel de Controle'!$P66*J51/1000000,0)</f>
        <v>0</v>
      </c>
      <c r="K106" s="327">
        <f>IF(K51&gt;0,'R&amp;C-Painel de Controle'!$O66+'R&amp;C-Painel de Controle'!$P66*K51/1000000,0)</f>
        <v>0</v>
      </c>
      <c r="L106" s="327">
        <f>IF(L51&gt;0,'R&amp;C-Painel de Controle'!$O66+'R&amp;C-Painel de Controle'!$P66*L51/1000000,0)</f>
        <v>0</v>
      </c>
      <c r="M106" s="327">
        <f>IF(M51&gt;0,'R&amp;C-Painel de Controle'!$O66+'R&amp;C-Painel de Controle'!$P66*M51/1000000,0)</f>
        <v>0</v>
      </c>
      <c r="N106" s="327">
        <f>IF(N51&gt;0,'R&amp;C-Painel de Controle'!$O66+'R&amp;C-Painel de Controle'!$P66*N51/1000000,0)</f>
        <v>0</v>
      </c>
      <c r="O106" s="327">
        <f>IF(O51&gt;0,'R&amp;C-Painel de Controle'!$O66+'R&amp;C-Painel de Controle'!$P66*O51/1000000,0)</f>
        <v>0</v>
      </c>
      <c r="P106" s="327">
        <f>IF(P51&gt;0,'R&amp;C-Painel de Controle'!$O66+'R&amp;C-Painel de Controle'!$P66*P51/1000000,0)</f>
        <v>0</v>
      </c>
      <c r="Q106" s="327">
        <f>IF(Q51&gt;0,'R&amp;C-Painel de Controle'!$O66+'R&amp;C-Painel de Controle'!$P66*Q51/1000000,0)</f>
        <v>0</v>
      </c>
      <c r="R106" s="305">
        <f t="shared" ref="R106:BC106" si="45">Q106</f>
        <v>0</v>
      </c>
      <c r="S106" s="305">
        <f t="shared" si="45"/>
        <v>0</v>
      </c>
      <c r="T106" s="305">
        <f t="shared" si="45"/>
        <v>0</v>
      </c>
      <c r="U106" s="305">
        <f t="shared" si="45"/>
        <v>0</v>
      </c>
      <c r="V106" s="305">
        <f t="shared" si="45"/>
        <v>0</v>
      </c>
      <c r="W106" s="305">
        <f t="shared" si="45"/>
        <v>0</v>
      </c>
      <c r="X106" s="305">
        <f t="shared" si="45"/>
        <v>0</v>
      </c>
      <c r="Y106" s="305">
        <f t="shared" si="45"/>
        <v>0</v>
      </c>
      <c r="Z106" s="305">
        <f t="shared" si="45"/>
        <v>0</v>
      </c>
      <c r="AA106" s="305">
        <f t="shared" si="45"/>
        <v>0</v>
      </c>
      <c r="AB106" s="305">
        <f t="shared" si="45"/>
        <v>0</v>
      </c>
      <c r="AC106" s="305">
        <f t="shared" si="45"/>
        <v>0</v>
      </c>
      <c r="AD106" s="305">
        <f t="shared" si="45"/>
        <v>0</v>
      </c>
      <c r="AE106" s="305">
        <f t="shared" si="45"/>
        <v>0</v>
      </c>
      <c r="AF106" s="305">
        <f t="shared" si="45"/>
        <v>0</v>
      </c>
      <c r="AG106" s="305">
        <f t="shared" si="45"/>
        <v>0</v>
      </c>
      <c r="AH106" s="305">
        <f t="shared" si="45"/>
        <v>0</v>
      </c>
      <c r="AI106" s="305">
        <f t="shared" si="45"/>
        <v>0</v>
      </c>
      <c r="AJ106" s="305">
        <f t="shared" si="45"/>
        <v>0</v>
      </c>
      <c r="AK106" s="305">
        <f t="shared" si="45"/>
        <v>0</v>
      </c>
      <c r="AL106" s="305">
        <f t="shared" si="45"/>
        <v>0</v>
      </c>
      <c r="AM106" s="305">
        <f t="shared" si="45"/>
        <v>0</v>
      </c>
      <c r="AN106" s="305">
        <f t="shared" si="45"/>
        <v>0</v>
      </c>
      <c r="AO106" s="305">
        <f t="shared" si="45"/>
        <v>0</v>
      </c>
      <c r="AP106" s="305">
        <f t="shared" si="45"/>
        <v>0</v>
      </c>
      <c r="AQ106" s="305">
        <f t="shared" si="45"/>
        <v>0</v>
      </c>
      <c r="AR106" s="305">
        <f t="shared" si="45"/>
        <v>0</v>
      </c>
      <c r="AS106" s="305">
        <f t="shared" si="45"/>
        <v>0</v>
      </c>
      <c r="AT106" s="305">
        <f t="shared" si="45"/>
        <v>0</v>
      </c>
      <c r="AU106" s="305">
        <f t="shared" si="45"/>
        <v>0</v>
      </c>
      <c r="AV106" s="305">
        <f t="shared" si="45"/>
        <v>0</v>
      </c>
      <c r="AW106" s="305">
        <f t="shared" si="45"/>
        <v>0</v>
      </c>
      <c r="AX106" s="305">
        <f t="shared" si="45"/>
        <v>0</v>
      </c>
      <c r="AY106" s="305">
        <f t="shared" si="45"/>
        <v>0</v>
      </c>
      <c r="AZ106" s="305">
        <f t="shared" si="45"/>
        <v>0</v>
      </c>
      <c r="BA106" s="305">
        <f t="shared" si="45"/>
        <v>0</v>
      </c>
      <c r="BB106" s="305">
        <f t="shared" si="45"/>
        <v>0</v>
      </c>
      <c r="BC106" s="305">
        <f t="shared" si="45"/>
        <v>0</v>
      </c>
      <c r="BD106" s="305"/>
      <c r="BE106" s="305"/>
      <c r="BF106" s="305"/>
    </row>
    <row r="107" spans="2:58" s="206" customFormat="1" ht="18" hidden="1" customHeight="1" outlineLevel="1" x14ac:dyDescent="0.25">
      <c r="B107" s="906" t="str">
        <f>B80</f>
        <v>Compostagem</v>
      </c>
      <c r="C107" s="325" t="str">
        <f>C52</f>
        <v>Sim</v>
      </c>
      <c r="D107" s="325">
        <f>D52</f>
        <v>63991.846794871803</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25">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25">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2.0417195381182149</v>
      </c>
      <c r="G109" s="327">
        <f>IF(G54&gt;0,'R&amp;C-Painel de Controle'!$O69+'R&amp;C-Painel de Controle'!$P69*G54/1000000,0)</f>
        <v>2.0417195381182149</v>
      </c>
      <c r="H109" s="327">
        <f>IF(H54&gt;0,'R&amp;C-Painel de Controle'!$O69+'R&amp;C-Painel de Controle'!$P69*H54/1000000,0)</f>
        <v>2.0417195381182149</v>
      </c>
      <c r="I109" s="327">
        <f>IF(I54&gt;0,'R&amp;C-Painel de Controle'!$O69+'R&amp;C-Painel de Controle'!$P69*I54/1000000,0)</f>
        <v>2.0417195381182149</v>
      </c>
      <c r="J109" s="327">
        <f>IF(J54&gt;0,'R&amp;C-Painel de Controle'!$O69+'R&amp;C-Painel de Controle'!$P69*J54/1000000,0)</f>
        <v>2.0417195381182149</v>
      </c>
      <c r="K109" s="327">
        <f>IF(K54&gt;0,'R&amp;C-Painel de Controle'!$O69+'R&amp;C-Painel de Controle'!$P69*K54/1000000,0)</f>
        <v>2.0417195381182149</v>
      </c>
      <c r="L109" s="327">
        <f>IF(L54&gt;0,'R&amp;C-Painel de Controle'!$O69+'R&amp;C-Painel de Controle'!$P69*L54/1000000,0)</f>
        <v>2.0417195381182149</v>
      </c>
      <c r="M109" s="327">
        <f>IF(M54&gt;0,'R&amp;C-Painel de Controle'!$O69+'R&amp;C-Painel de Controle'!$P69*M54/1000000,0)</f>
        <v>2.0417195381182149</v>
      </c>
      <c r="N109" s="327">
        <f>IF(N54&gt;0,'R&amp;C-Painel de Controle'!$O69+'R&amp;C-Painel de Controle'!$P69*N54/1000000,0)</f>
        <v>2.0417195381182149</v>
      </c>
      <c r="O109" s="327">
        <f>IF(O54&gt;0,'R&amp;C-Painel de Controle'!$O69+'R&amp;C-Painel de Controle'!$P69*O54/1000000,0)</f>
        <v>2.0417195381182149</v>
      </c>
      <c r="P109" s="327">
        <f>IF(P54&gt;0,'R&amp;C-Painel de Controle'!$O69+'R&amp;C-Painel de Controle'!$P69*P54/1000000,0)</f>
        <v>2.0417195381182149</v>
      </c>
      <c r="Q109" s="327">
        <f>IF(Q54&gt;0,'R&amp;C-Painel de Controle'!$O69+'R&amp;C-Painel de Controle'!$P69*Q54/1000000,0)</f>
        <v>2.0417195381182149</v>
      </c>
      <c r="R109" s="305">
        <f t="shared" ref="R109:BC109" si="46">Q109</f>
        <v>2.0417195381182149</v>
      </c>
      <c r="S109" s="305">
        <f t="shared" si="46"/>
        <v>2.0417195381182149</v>
      </c>
      <c r="T109" s="305">
        <f t="shared" si="46"/>
        <v>2.0417195381182149</v>
      </c>
      <c r="U109" s="305">
        <f t="shared" si="46"/>
        <v>2.0417195381182149</v>
      </c>
      <c r="V109" s="305">
        <f t="shared" si="46"/>
        <v>2.0417195381182149</v>
      </c>
      <c r="W109" s="305">
        <f t="shared" si="46"/>
        <v>2.0417195381182149</v>
      </c>
      <c r="X109" s="305">
        <f t="shared" si="46"/>
        <v>2.0417195381182149</v>
      </c>
      <c r="Y109" s="305">
        <f t="shared" si="46"/>
        <v>2.0417195381182149</v>
      </c>
      <c r="Z109" s="305">
        <f t="shared" si="46"/>
        <v>2.0417195381182149</v>
      </c>
      <c r="AA109" s="305">
        <f t="shared" si="46"/>
        <v>2.0417195381182149</v>
      </c>
      <c r="AB109" s="305">
        <f t="shared" si="46"/>
        <v>2.0417195381182149</v>
      </c>
      <c r="AC109" s="305">
        <f t="shared" si="46"/>
        <v>2.0417195381182149</v>
      </c>
      <c r="AD109" s="305">
        <f t="shared" si="46"/>
        <v>2.0417195381182149</v>
      </c>
      <c r="AE109" s="305">
        <f t="shared" si="46"/>
        <v>2.0417195381182149</v>
      </c>
      <c r="AF109" s="305">
        <f t="shared" si="46"/>
        <v>2.0417195381182149</v>
      </c>
      <c r="AG109" s="305">
        <f t="shared" si="46"/>
        <v>2.0417195381182149</v>
      </c>
      <c r="AH109" s="305">
        <f t="shared" si="46"/>
        <v>2.0417195381182149</v>
      </c>
      <c r="AI109" s="305">
        <f t="shared" si="46"/>
        <v>2.0417195381182149</v>
      </c>
      <c r="AJ109" s="305">
        <f t="shared" si="46"/>
        <v>2.0417195381182149</v>
      </c>
      <c r="AK109" s="305">
        <f t="shared" si="46"/>
        <v>2.0417195381182149</v>
      </c>
      <c r="AL109" s="305">
        <f t="shared" si="46"/>
        <v>2.0417195381182149</v>
      </c>
      <c r="AM109" s="305">
        <f t="shared" si="46"/>
        <v>2.0417195381182149</v>
      </c>
      <c r="AN109" s="305">
        <f t="shared" si="46"/>
        <v>2.0417195381182149</v>
      </c>
      <c r="AO109" s="305">
        <f t="shared" si="46"/>
        <v>2.0417195381182149</v>
      </c>
      <c r="AP109" s="305">
        <f t="shared" si="46"/>
        <v>2.0417195381182149</v>
      </c>
      <c r="AQ109" s="305">
        <f t="shared" si="46"/>
        <v>2.0417195381182149</v>
      </c>
      <c r="AR109" s="305">
        <f t="shared" si="46"/>
        <v>2.0417195381182149</v>
      </c>
      <c r="AS109" s="305">
        <f t="shared" si="46"/>
        <v>2.0417195381182149</v>
      </c>
      <c r="AT109" s="305">
        <f t="shared" si="46"/>
        <v>2.0417195381182149</v>
      </c>
      <c r="AU109" s="305">
        <f t="shared" si="46"/>
        <v>2.0417195381182149</v>
      </c>
      <c r="AV109" s="305">
        <f t="shared" si="46"/>
        <v>2.0417195381182149</v>
      </c>
      <c r="AW109" s="305">
        <f t="shared" si="46"/>
        <v>2.0417195381182149</v>
      </c>
      <c r="AX109" s="305">
        <f t="shared" si="46"/>
        <v>2.0417195381182149</v>
      </c>
      <c r="AY109" s="305">
        <f t="shared" si="46"/>
        <v>2.0417195381182149</v>
      </c>
      <c r="AZ109" s="305">
        <f t="shared" si="46"/>
        <v>2.0417195381182149</v>
      </c>
      <c r="BA109" s="305">
        <f t="shared" si="46"/>
        <v>2.0417195381182149</v>
      </c>
      <c r="BB109" s="305">
        <f t="shared" si="46"/>
        <v>2.0417195381182149</v>
      </c>
      <c r="BC109" s="305">
        <f t="shared" si="46"/>
        <v>2.0417195381182149</v>
      </c>
      <c r="BD109" s="305"/>
      <c r="BE109" s="305"/>
      <c r="BF109" s="305"/>
    </row>
    <row r="110" spans="2:58" s="206" customFormat="1" ht="18" hidden="1" customHeight="1" outlineLevel="1" x14ac:dyDescent="0.25">
      <c r="B110" s="906" t="str">
        <f>B83</f>
        <v>Incineração</v>
      </c>
      <c r="C110" s="325" t="str">
        <f>C55</f>
        <v>Não</v>
      </c>
      <c r="D110" s="325">
        <f>D55</f>
        <v>0</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25">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25">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0</v>
      </c>
      <c r="G112" s="327">
        <f>IF(G57&gt;0,'R&amp;C-Painel de Controle'!$O72+'R&amp;C-Painel de Controle'!$P72*G57/1000000,0)</f>
        <v>0</v>
      </c>
      <c r="H112" s="327">
        <f>IF(H57&gt;0,'R&amp;C-Painel de Controle'!$O72+'R&amp;C-Painel de Controle'!$P72*H57/1000000,0)</f>
        <v>0</v>
      </c>
      <c r="I112" s="327">
        <f>IF(I57&gt;0,'R&amp;C-Painel de Controle'!$O72+'R&amp;C-Painel de Controle'!$P72*I57/1000000,0)</f>
        <v>0</v>
      </c>
      <c r="J112" s="327">
        <f>IF(J57&gt;0,'R&amp;C-Painel de Controle'!$O72+'R&amp;C-Painel de Controle'!$P72*J57/1000000,0)</f>
        <v>0</v>
      </c>
      <c r="K112" s="327">
        <f>IF(K57&gt;0,'R&amp;C-Painel de Controle'!$O72+'R&amp;C-Painel de Controle'!$P72*K57/1000000,0)</f>
        <v>0</v>
      </c>
      <c r="L112" s="327">
        <f>IF(L57&gt;0,'R&amp;C-Painel de Controle'!$O72+'R&amp;C-Painel de Controle'!$P72*L57/1000000,0)</f>
        <v>0</v>
      </c>
      <c r="M112" s="327">
        <f>IF(M57&gt;0,'R&amp;C-Painel de Controle'!$O72+'R&amp;C-Painel de Controle'!$P72*M57/1000000,0)</f>
        <v>0</v>
      </c>
      <c r="N112" s="327">
        <f>IF(N57&gt;0,'R&amp;C-Painel de Controle'!$O72+'R&amp;C-Painel de Controle'!$P72*N57/1000000,0)</f>
        <v>0</v>
      </c>
      <c r="O112" s="327">
        <f>IF(O57&gt;0,'R&amp;C-Painel de Controle'!$O72+'R&amp;C-Painel de Controle'!$P72*O57/1000000,0)</f>
        <v>0</v>
      </c>
      <c r="P112" s="327">
        <f>IF(P57&gt;0,'R&amp;C-Painel de Controle'!$O72+'R&amp;C-Painel de Controle'!$P72*P57/1000000,0)</f>
        <v>0</v>
      </c>
      <c r="Q112" s="327">
        <f>IF(Q57&gt;0,'R&amp;C-Painel de Controle'!$O72+'R&amp;C-Painel de Controle'!$P72*Q57/1000000,0)</f>
        <v>0</v>
      </c>
      <c r="R112" s="305">
        <f t="shared" ref="R112:BC112" si="47">Q112</f>
        <v>0</v>
      </c>
      <c r="S112" s="305">
        <f t="shared" si="47"/>
        <v>0</v>
      </c>
      <c r="T112" s="305">
        <f t="shared" si="47"/>
        <v>0</v>
      </c>
      <c r="U112" s="305">
        <f t="shared" si="47"/>
        <v>0</v>
      </c>
      <c r="V112" s="305">
        <f t="shared" si="47"/>
        <v>0</v>
      </c>
      <c r="W112" s="305">
        <f t="shared" si="47"/>
        <v>0</v>
      </c>
      <c r="X112" s="305">
        <f t="shared" si="47"/>
        <v>0</v>
      </c>
      <c r="Y112" s="305">
        <f t="shared" si="47"/>
        <v>0</v>
      </c>
      <c r="Z112" s="305">
        <f t="shared" si="47"/>
        <v>0</v>
      </c>
      <c r="AA112" s="305">
        <f t="shared" si="47"/>
        <v>0</v>
      </c>
      <c r="AB112" s="305">
        <f t="shared" si="47"/>
        <v>0</v>
      </c>
      <c r="AC112" s="305">
        <f t="shared" si="47"/>
        <v>0</v>
      </c>
      <c r="AD112" s="305">
        <f t="shared" si="47"/>
        <v>0</v>
      </c>
      <c r="AE112" s="305">
        <f t="shared" si="47"/>
        <v>0</v>
      </c>
      <c r="AF112" s="305">
        <f t="shared" si="47"/>
        <v>0</v>
      </c>
      <c r="AG112" s="305">
        <f t="shared" si="47"/>
        <v>0</v>
      </c>
      <c r="AH112" s="305">
        <f t="shared" si="47"/>
        <v>0</v>
      </c>
      <c r="AI112" s="305">
        <f t="shared" si="47"/>
        <v>0</v>
      </c>
      <c r="AJ112" s="305">
        <f t="shared" si="47"/>
        <v>0</v>
      </c>
      <c r="AK112" s="305">
        <f t="shared" si="47"/>
        <v>0</v>
      </c>
      <c r="AL112" s="305">
        <f t="shared" si="47"/>
        <v>0</v>
      </c>
      <c r="AM112" s="305">
        <f t="shared" si="47"/>
        <v>0</v>
      </c>
      <c r="AN112" s="305">
        <f t="shared" si="47"/>
        <v>0</v>
      </c>
      <c r="AO112" s="305">
        <f t="shared" si="47"/>
        <v>0</v>
      </c>
      <c r="AP112" s="305">
        <f t="shared" si="47"/>
        <v>0</v>
      </c>
      <c r="AQ112" s="305">
        <f t="shared" si="47"/>
        <v>0</v>
      </c>
      <c r="AR112" s="305">
        <f t="shared" si="47"/>
        <v>0</v>
      </c>
      <c r="AS112" s="305">
        <f t="shared" si="47"/>
        <v>0</v>
      </c>
      <c r="AT112" s="305">
        <f t="shared" si="47"/>
        <v>0</v>
      </c>
      <c r="AU112" s="305">
        <f t="shared" si="47"/>
        <v>0</v>
      </c>
      <c r="AV112" s="305">
        <f t="shared" si="47"/>
        <v>0</v>
      </c>
      <c r="AW112" s="305">
        <f t="shared" si="47"/>
        <v>0</v>
      </c>
      <c r="AX112" s="305">
        <f t="shared" si="47"/>
        <v>0</v>
      </c>
      <c r="AY112" s="305">
        <f t="shared" si="47"/>
        <v>0</v>
      </c>
      <c r="AZ112" s="305">
        <f t="shared" si="47"/>
        <v>0</v>
      </c>
      <c r="BA112" s="305">
        <f t="shared" si="47"/>
        <v>0</v>
      </c>
      <c r="BB112" s="305">
        <f t="shared" si="47"/>
        <v>0</v>
      </c>
      <c r="BC112" s="305">
        <f t="shared" si="47"/>
        <v>0</v>
      </c>
      <c r="BD112" s="305"/>
      <c r="BE112" s="305"/>
      <c r="BF112" s="305"/>
    </row>
    <row r="113" spans="1:58" s="206" customFormat="1" ht="18" hidden="1" customHeight="1" outlineLevel="1" x14ac:dyDescent="0.25">
      <c r="B113" s="906" t="str">
        <f>B86</f>
        <v>Aterro Sanitário</v>
      </c>
      <c r="C113" s="325" t="str">
        <f>C58</f>
        <v>Sim</v>
      </c>
      <c r="D113" s="325">
        <f>D58</f>
        <v>77890.802403846174</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25">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25">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7.5236479819925108</v>
      </c>
      <c r="G115" s="327">
        <f>IF(G60&gt;0,'R&amp;C-Painel de Controle'!$O75+'R&amp;C-Painel de Controle'!$P75*G60/1000000,0)</f>
        <v>7.5236479819925108</v>
      </c>
      <c r="H115" s="327">
        <f>IF(H60&gt;0,'R&amp;C-Painel de Controle'!$O75+'R&amp;C-Painel de Controle'!$P75*H60/1000000,0)</f>
        <v>7.5236479819925108</v>
      </c>
      <c r="I115" s="327">
        <f>IF(I60&gt;0,'R&amp;C-Painel de Controle'!$O75+'R&amp;C-Painel de Controle'!$P75*I60/1000000,0)</f>
        <v>7.5236479819925108</v>
      </c>
      <c r="J115" s="327">
        <f>IF(J60&gt;0,'R&amp;C-Painel de Controle'!$O75+'R&amp;C-Painel de Controle'!$P75*J60/1000000,0)</f>
        <v>7.5236479819925108</v>
      </c>
      <c r="K115" s="327">
        <f>IF(K60&gt;0,'R&amp;C-Painel de Controle'!$O75+'R&amp;C-Painel de Controle'!$P75*K60/1000000,0)</f>
        <v>7.5236479819925108</v>
      </c>
      <c r="L115" s="327">
        <f>IF(L60&gt;0,'R&amp;C-Painel de Controle'!$O75+'R&amp;C-Painel de Controle'!$P75*L60/1000000,0)</f>
        <v>7.5236479819925108</v>
      </c>
      <c r="M115" s="327">
        <f>IF(M60&gt;0,'R&amp;C-Painel de Controle'!$O75+'R&amp;C-Painel de Controle'!$P75*M60/1000000,0)</f>
        <v>7.5236479819925108</v>
      </c>
      <c r="N115" s="327">
        <f>IF(N60&gt;0,'R&amp;C-Painel de Controle'!$O75+'R&amp;C-Painel de Controle'!$P75*N60/1000000,0)</f>
        <v>7.5236479819925108</v>
      </c>
      <c r="O115" s="327">
        <f>IF(O60&gt;0,'R&amp;C-Painel de Controle'!$O75+'R&amp;C-Painel de Controle'!$P75*O60/1000000,0)</f>
        <v>7.5236479819925108</v>
      </c>
      <c r="P115" s="327">
        <f>IF(P60&gt;0,'R&amp;C-Painel de Controle'!$O75+'R&amp;C-Painel de Controle'!$P75*P60/1000000,0)</f>
        <v>7.5236479819925108</v>
      </c>
      <c r="Q115" s="327">
        <f>IF(Q60&gt;0,'R&amp;C-Painel de Controle'!$O75+'R&amp;C-Painel de Controle'!$P75*Q60/1000000,0)</f>
        <v>7.5236479819925108</v>
      </c>
      <c r="R115" s="305">
        <f t="shared" ref="R115:BC115" si="48">Q115</f>
        <v>7.5236479819925108</v>
      </c>
      <c r="S115" s="305">
        <f t="shared" si="48"/>
        <v>7.5236479819925108</v>
      </c>
      <c r="T115" s="305">
        <f t="shared" si="48"/>
        <v>7.5236479819925108</v>
      </c>
      <c r="U115" s="305">
        <f t="shared" si="48"/>
        <v>7.5236479819925108</v>
      </c>
      <c r="V115" s="305">
        <f t="shared" si="48"/>
        <v>7.5236479819925108</v>
      </c>
      <c r="W115" s="305">
        <f t="shared" si="48"/>
        <v>7.5236479819925108</v>
      </c>
      <c r="X115" s="305">
        <f t="shared" si="48"/>
        <v>7.5236479819925108</v>
      </c>
      <c r="Y115" s="305">
        <f t="shared" si="48"/>
        <v>7.5236479819925108</v>
      </c>
      <c r="Z115" s="305">
        <f t="shared" si="48"/>
        <v>7.5236479819925108</v>
      </c>
      <c r="AA115" s="305">
        <f t="shared" si="48"/>
        <v>7.5236479819925108</v>
      </c>
      <c r="AB115" s="305">
        <f t="shared" si="48"/>
        <v>7.5236479819925108</v>
      </c>
      <c r="AC115" s="305">
        <f t="shared" si="48"/>
        <v>7.5236479819925108</v>
      </c>
      <c r="AD115" s="305">
        <f t="shared" si="48"/>
        <v>7.5236479819925108</v>
      </c>
      <c r="AE115" s="305">
        <f t="shared" si="48"/>
        <v>7.5236479819925108</v>
      </c>
      <c r="AF115" s="305">
        <f t="shared" si="48"/>
        <v>7.5236479819925108</v>
      </c>
      <c r="AG115" s="305">
        <f t="shared" si="48"/>
        <v>7.5236479819925108</v>
      </c>
      <c r="AH115" s="305">
        <f t="shared" si="48"/>
        <v>7.5236479819925108</v>
      </c>
      <c r="AI115" s="305">
        <f t="shared" si="48"/>
        <v>7.5236479819925108</v>
      </c>
      <c r="AJ115" s="305">
        <f t="shared" si="48"/>
        <v>7.5236479819925108</v>
      </c>
      <c r="AK115" s="305">
        <f t="shared" si="48"/>
        <v>7.5236479819925108</v>
      </c>
      <c r="AL115" s="305">
        <f t="shared" si="48"/>
        <v>7.5236479819925108</v>
      </c>
      <c r="AM115" s="305">
        <f t="shared" si="48"/>
        <v>7.5236479819925108</v>
      </c>
      <c r="AN115" s="305">
        <f t="shared" si="48"/>
        <v>7.5236479819925108</v>
      </c>
      <c r="AO115" s="305">
        <f t="shared" si="48"/>
        <v>7.5236479819925108</v>
      </c>
      <c r="AP115" s="305">
        <f t="shared" si="48"/>
        <v>7.5236479819925108</v>
      </c>
      <c r="AQ115" s="305">
        <f t="shared" si="48"/>
        <v>7.5236479819925108</v>
      </c>
      <c r="AR115" s="305">
        <f t="shared" si="48"/>
        <v>7.5236479819925108</v>
      </c>
      <c r="AS115" s="305">
        <f t="shared" si="48"/>
        <v>7.5236479819925108</v>
      </c>
      <c r="AT115" s="305">
        <f t="shared" si="48"/>
        <v>7.5236479819925108</v>
      </c>
      <c r="AU115" s="305">
        <f t="shared" si="48"/>
        <v>7.5236479819925108</v>
      </c>
      <c r="AV115" s="305">
        <f t="shared" si="48"/>
        <v>7.5236479819925108</v>
      </c>
      <c r="AW115" s="305">
        <f t="shared" si="48"/>
        <v>7.5236479819925108</v>
      </c>
      <c r="AX115" s="305">
        <f t="shared" si="48"/>
        <v>7.5236479819925108</v>
      </c>
      <c r="AY115" s="305">
        <f t="shared" si="48"/>
        <v>7.5236479819925108</v>
      </c>
      <c r="AZ115" s="305">
        <f t="shared" si="48"/>
        <v>7.5236479819925108</v>
      </c>
      <c r="BA115" s="305">
        <f t="shared" si="48"/>
        <v>7.5236479819925108</v>
      </c>
      <c r="BB115" s="305">
        <f t="shared" si="48"/>
        <v>7.5236479819925108</v>
      </c>
      <c r="BC115" s="305">
        <f t="shared" si="48"/>
        <v>7.5236479819925108</v>
      </c>
      <c r="BD115" s="305"/>
      <c r="BE115" s="305"/>
      <c r="BF115" s="305"/>
    </row>
    <row r="116" spans="1:58" s="206" customFormat="1" ht="18" customHeight="1" x14ac:dyDescent="0.25">
      <c r="B116" s="207"/>
      <c r="C116" s="306"/>
      <c r="D116" s="306"/>
      <c r="E116" s="306"/>
      <c r="F116" s="306"/>
      <c r="G116" s="306"/>
      <c r="H116" s="306"/>
      <c r="I116" s="306"/>
      <c r="J116" s="306"/>
      <c r="K116" s="306"/>
      <c r="L116" s="306"/>
      <c r="M116" s="306"/>
      <c r="N116" s="306"/>
      <c r="O116" s="306"/>
      <c r="P116" s="306"/>
      <c r="Q116" s="306"/>
      <c r="R116" s="299"/>
    </row>
    <row r="117" spans="1:58" s="206" customFormat="1" ht="25.9" customHeight="1" x14ac:dyDescent="0.25">
      <c r="B117" s="910" t="s">
        <v>672</v>
      </c>
      <c r="C117" s="306">
        <f>IF('R-Definição'!$E$121="Existente",C90+((('R&amp;C-Painel de Controle'!$D$88+'R&amp;C-Painel de Controle'!$D$89)*('R&amp;C-Painel de Controle'!$D$44+'R&amp;C-Painel de Controle'!$D$46))/1000000),C90+((('R&amp;C-Painel de Controle'!$D$88)*('R&amp;C-Painel de Controle'!$D$44+'R&amp;C-Painel de Controle'!$D$46))/1000000))</f>
        <v>2.9460975</v>
      </c>
      <c r="D117" s="306">
        <f>IF('R-Definição'!$E$121="Existente",D90+((('R&amp;C-Painel de Controle'!$D$88+'R&amp;C-Painel de Controle'!$D$89)*('R&amp;C-Painel de Controle'!$D$44+'R&amp;C-Painel de Controle'!$D$46))/1000000),D90+((('R&amp;C-Painel de Controle'!$D$88)*('R&amp;C-Painel de Controle'!$D$44+'R&amp;C-Painel de Controle'!$D$46))/1000000))</f>
        <v>2.9460975</v>
      </c>
      <c r="E117" s="306">
        <f>IF('R-Definição'!$E$121="Existente",E90+((('R&amp;C-Painel de Controle'!$D$88+'R&amp;C-Painel de Controle'!$D$89)*('R&amp;C-Painel de Controle'!$D$44+'R&amp;C-Painel de Controle'!$D$46))/1000000),E90+((('R&amp;C-Painel de Controle'!$D$88)*('R&amp;C-Painel de Controle'!$D$44+'R&amp;C-Painel de Controle'!$D$46))/1000000))</f>
        <v>2.9460975</v>
      </c>
      <c r="F117" s="306">
        <f>IF('R-Definição'!$E$121="Existente",F90+((('R&amp;C-Painel de Controle'!$D$88+'R&amp;C-Painel de Controle'!$D$89)*('R&amp;C-Painel de Controle'!$D$44+'R&amp;C-Painel de Controle'!$D$46))/1000000),F90+((('R&amp;C-Painel de Controle'!$D$88)*('R&amp;C-Painel de Controle'!$D$44+'R&amp;C-Painel de Controle'!$D$46))/1000000))</f>
        <v>27.331513322833175</v>
      </c>
      <c r="G117" s="306">
        <f>IF('R-Definição'!$E$121="Existente",G90+((('R&amp;C-Painel de Controle'!$D$88+'R&amp;C-Painel de Controle'!$D$89)*('R&amp;C-Painel de Controle'!$D$44+'R&amp;C-Painel de Controle'!$D$46))/1000000),G90+((('R&amp;C-Painel de Controle'!$D$88)*('R&amp;C-Painel de Controle'!$D$44+'R&amp;C-Painel de Controle'!$D$46))/1000000))</f>
        <v>27.331513322833175</v>
      </c>
      <c r="H117" s="306">
        <f>IF('R-Definição'!$E$121="Existente",H90+((('R&amp;C-Painel de Controle'!$D$88+'R&amp;C-Painel de Controle'!$D$89)*('R&amp;C-Painel de Controle'!$D$44+'R&amp;C-Painel de Controle'!$D$46))/1000000),H90+((('R&amp;C-Painel de Controle'!$D$88)*('R&amp;C-Painel de Controle'!$D$44+'R&amp;C-Painel de Controle'!$D$46))/1000000))</f>
        <v>27.331513322833175</v>
      </c>
      <c r="I117" s="306">
        <f>IF('R-Definição'!$E$121="Existente",I90+((('R&amp;C-Painel de Controle'!$D$88+'R&amp;C-Painel de Controle'!$D$89)*('R&amp;C-Painel de Controle'!$D$44+'R&amp;C-Painel de Controle'!$D$46))/1000000),I90+((('R&amp;C-Painel de Controle'!$D$88)*('R&amp;C-Painel de Controle'!$D$44+'R&amp;C-Painel de Controle'!$D$46))/1000000))</f>
        <v>27.331513322833175</v>
      </c>
      <c r="J117" s="306">
        <f>IF('R-Definição'!$E$121="Existente",J90+((('R&amp;C-Painel de Controle'!$D$88+'R&amp;C-Painel de Controle'!$D$89)*('R&amp;C-Painel de Controle'!$D$44+'R&amp;C-Painel de Controle'!$D$46))/1000000),J90+((('R&amp;C-Painel de Controle'!$D$88)*('R&amp;C-Painel de Controle'!$D$44+'R&amp;C-Painel de Controle'!$D$46))/1000000))</f>
        <v>27.331513322833175</v>
      </c>
      <c r="K117" s="306">
        <f>IF('R-Definição'!$E$121="Existente",K90+((('R&amp;C-Painel de Controle'!$D$88+'R&amp;C-Painel de Controle'!$D$89)*('R&amp;C-Painel de Controle'!$D$44+'R&amp;C-Painel de Controle'!$D$46))/1000000),K90+((('R&amp;C-Painel de Controle'!$D$88)*('R&amp;C-Painel de Controle'!$D$44+'R&amp;C-Painel de Controle'!$D$46))/1000000))</f>
        <v>27.331513322833175</v>
      </c>
      <c r="L117" s="306">
        <f>IF('R-Definição'!$E$121="Existente",L90+((('R&amp;C-Painel de Controle'!$D$88+'R&amp;C-Painel de Controle'!$D$89)*('R&amp;C-Painel de Controle'!$D$44+'R&amp;C-Painel de Controle'!$D$46))/1000000),L90+((('R&amp;C-Painel de Controle'!$D$88)*('R&amp;C-Painel de Controle'!$D$44+'R&amp;C-Painel de Controle'!$D$46))/1000000))</f>
        <v>27.331513322833175</v>
      </c>
      <c r="M117" s="306">
        <f>IF('R-Definição'!$E$121="Existente",M90+((('R&amp;C-Painel de Controle'!$D$88+'R&amp;C-Painel de Controle'!$D$89)*('R&amp;C-Painel de Controle'!$D$44+'R&amp;C-Painel de Controle'!$D$46))/1000000),M90+((('R&amp;C-Painel de Controle'!$D$88)*('R&amp;C-Painel de Controle'!$D$44+'R&amp;C-Painel de Controle'!$D$46))/1000000))</f>
        <v>27.331513322833175</v>
      </c>
      <c r="N117" s="306">
        <f>IF('R-Definição'!$E$121="Existente",N90+((('R&amp;C-Painel de Controle'!$D$88+'R&amp;C-Painel de Controle'!$D$89)*('R&amp;C-Painel de Controle'!$D$44+'R&amp;C-Painel de Controle'!$D$46))/1000000),N90+((('R&amp;C-Painel de Controle'!$D$88)*('R&amp;C-Painel de Controle'!$D$44+'R&amp;C-Painel de Controle'!$D$46))/1000000))</f>
        <v>27.331513322833175</v>
      </c>
      <c r="O117" s="306">
        <f>IF('R-Definição'!$E$121="Existente",O90+((('R&amp;C-Painel de Controle'!$D$88+'R&amp;C-Painel de Controle'!$D$89)*('R&amp;C-Painel de Controle'!$D$44+'R&amp;C-Painel de Controle'!$D$46))/1000000),O90+((('R&amp;C-Painel de Controle'!$D$88)*('R&amp;C-Painel de Controle'!$D$44+'R&amp;C-Painel de Controle'!$D$46))/1000000))</f>
        <v>27.331513322833175</v>
      </c>
      <c r="P117" s="306">
        <f>IF('R-Definição'!$E$121="Existente",P90+((('R&amp;C-Painel de Controle'!$D$88+'R&amp;C-Painel de Controle'!$D$89)*('R&amp;C-Painel de Controle'!$D$44+'R&amp;C-Painel de Controle'!$D$46))/1000000),P90+((('R&amp;C-Painel de Controle'!$D$88)*('R&amp;C-Painel de Controle'!$D$44+'R&amp;C-Painel de Controle'!$D$46))/1000000))</f>
        <v>27.331513322833175</v>
      </c>
      <c r="Q117" s="306">
        <f>IF('R-Definição'!$E$121="Existente",Q90+((('R&amp;C-Painel de Controle'!$D$88+'R&amp;C-Painel de Controle'!$D$89)*('R&amp;C-Painel de Controle'!$D$44+'R&amp;C-Painel de Controle'!$D$46))/1000000),Q90+((('R&amp;C-Painel de Controle'!$D$88)*('R&amp;C-Painel de Controle'!$D$44+'R&amp;C-Painel de Controle'!$D$46))/1000000))</f>
        <v>27.331513322833175</v>
      </c>
      <c r="R117" s="306">
        <f>IF('R-Definição'!$E$121="Existente",R90+((('R&amp;C-Painel de Controle'!$D$88+'R&amp;C-Painel de Controle'!$D$89)*('R&amp;C-Painel de Controle'!$D$44+'R&amp;C-Painel de Controle'!$D$46))/1000000),R90+((('R&amp;C-Painel de Controle'!$D$88)*('R&amp;C-Painel de Controle'!$D$44+'R&amp;C-Painel de Controle'!$D$46))/1000000))</f>
        <v>27.331513322833175</v>
      </c>
      <c r="S117" s="306">
        <f>IF('R-Definição'!$E$121="Existente",S90+((('R&amp;C-Painel de Controle'!$D$88+'R&amp;C-Painel de Controle'!$D$89)*('R&amp;C-Painel de Controle'!$D$44+'R&amp;C-Painel de Controle'!$D$46))/1000000),S90+((('R&amp;C-Painel de Controle'!$D$88)*('R&amp;C-Painel de Controle'!$D$44+'R&amp;C-Painel de Controle'!$D$46))/1000000))</f>
        <v>27.331513322833175</v>
      </c>
      <c r="T117" s="306">
        <f>IF('R-Definição'!$E$121="Existente",T90+((('R&amp;C-Painel de Controle'!$D$88+'R&amp;C-Painel de Controle'!$D$89)*('R&amp;C-Painel de Controle'!$D$44+'R&amp;C-Painel de Controle'!$D$46))/1000000),T90+((('R&amp;C-Painel de Controle'!$D$88)*('R&amp;C-Painel de Controle'!$D$44+'R&amp;C-Painel de Controle'!$D$46))/1000000))</f>
        <v>27.331513322833175</v>
      </c>
      <c r="U117" s="306">
        <f>IF('R-Definição'!$E$121="Existente",U90+((('R&amp;C-Painel de Controle'!$D$88+'R&amp;C-Painel de Controle'!$D$89)*('R&amp;C-Painel de Controle'!$D$44+'R&amp;C-Painel de Controle'!$D$46))/1000000),U90+((('R&amp;C-Painel de Controle'!$D$88)*('R&amp;C-Painel de Controle'!$D$44+'R&amp;C-Painel de Controle'!$D$46))/1000000))</f>
        <v>27.331513322833175</v>
      </c>
      <c r="V117" s="306">
        <f>IF('R-Definição'!$E$121="Existente",V90+((('R&amp;C-Painel de Controle'!$D$88+'R&amp;C-Painel de Controle'!$D$89)*('R&amp;C-Painel de Controle'!$D$44+'R&amp;C-Painel de Controle'!$D$46))/1000000),V90+((('R&amp;C-Painel de Controle'!$D$88)*('R&amp;C-Painel de Controle'!$D$44+'R&amp;C-Painel de Controle'!$D$46))/1000000))</f>
        <v>27.331513322833175</v>
      </c>
      <c r="W117" s="306">
        <f>IF('R-Definição'!$E$121="Existente",W90+((('R&amp;C-Painel de Controle'!$D$88+'R&amp;C-Painel de Controle'!$D$89)*('R&amp;C-Painel de Controle'!$D$44+'R&amp;C-Painel de Controle'!$D$46))/1000000),W90+((('R&amp;C-Painel de Controle'!$D$88)*('R&amp;C-Painel de Controle'!$D$44+'R&amp;C-Painel de Controle'!$D$46))/1000000))</f>
        <v>27.331513322833175</v>
      </c>
      <c r="X117" s="306">
        <f>IF('R-Definição'!$E$121="Existente",X90+((('R&amp;C-Painel de Controle'!$D$88+'R&amp;C-Painel de Controle'!$D$89)*('R&amp;C-Painel de Controle'!$D$44+'R&amp;C-Painel de Controle'!$D$46))/1000000),X90+((('R&amp;C-Painel de Controle'!$D$88)*('R&amp;C-Painel de Controle'!$D$44+'R&amp;C-Painel de Controle'!$D$46))/1000000))</f>
        <v>27.331513322833175</v>
      </c>
      <c r="Y117" s="306">
        <f>IF('R-Definição'!$E$121="Existente",Y90+((('R&amp;C-Painel de Controle'!$D$88+'R&amp;C-Painel de Controle'!$D$89)*('R&amp;C-Painel de Controle'!$D$44+'R&amp;C-Painel de Controle'!$D$46))/1000000),Y90+((('R&amp;C-Painel de Controle'!$D$88)*('R&amp;C-Painel de Controle'!$D$44+'R&amp;C-Painel de Controle'!$D$46))/1000000))</f>
        <v>27.331513322833175</v>
      </c>
      <c r="Z117" s="306">
        <f>IF('R-Definição'!$E$121="Existente",Z90+((('R&amp;C-Painel de Controle'!$D$88+'R&amp;C-Painel de Controle'!$D$89)*('R&amp;C-Painel de Controle'!$D$44+'R&amp;C-Painel de Controle'!$D$46))/1000000),Z90+((('R&amp;C-Painel de Controle'!$D$88)*('R&amp;C-Painel de Controle'!$D$44+'R&amp;C-Painel de Controle'!$D$46))/1000000))</f>
        <v>27.331513322833175</v>
      </c>
      <c r="AA117" s="306">
        <f>IF('R-Definição'!$E$121="Existente",AA90+((('R&amp;C-Painel de Controle'!$D$88+'R&amp;C-Painel de Controle'!$D$89)*('R&amp;C-Painel de Controle'!$D$44+'R&amp;C-Painel de Controle'!$D$46))/1000000),AA90+((('R&amp;C-Painel de Controle'!$D$88)*('R&amp;C-Painel de Controle'!$D$44+'R&amp;C-Painel de Controle'!$D$46))/1000000))</f>
        <v>27.331513322833175</v>
      </c>
      <c r="AB117" s="306">
        <f>IF('R-Definição'!$E$121="Existente",AB90+((('R&amp;C-Painel de Controle'!$D$88+'R&amp;C-Painel de Controle'!$D$89)*('R&amp;C-Painel de Controle'!$D$44+'R&amp;C-Painel de Controle'!$D$46))/1000000),AB90+((('R&amp;C-Painel de Controle'!$D$88)*('R&amp;C-Painel de Controle'!$D$44+'R&amp;C-Painel de Controle'!$D$46))/1000000))</f>
        <v>27.331513322833175</v>
      </c>
      <c r="AC117" s="306">
        <f>IF('R-Definição'!$E$121="Existente",AC90+((('R&amp;C-Painel de Controle'!$D$88+'R&amp;C-Painel de Controle'!$D$89)*('R&amp;C-Painel de Controle'!$D$44+'R&amp;C-Painel de Controle'!$D$46))/1000000),AC90+((('R&amp;C-Painel de Controle'!$D$88)*('R&amp;C-Painel de Controle'!$D$44+'R&amp;C-Painel de Controle'!$D$46))/1000000))</f>
        <v>27.331513322833175</v>
      </c>
      <c r="AD117" s="306">
        <f>IF('R-Definição'!$E$121="Existente",AD90+((('R&amp;C-Painel de Controle'!$D$88+'R&amp;C-Painel de Controle'!$D$89)*('R&amp;C-Painel de Controle'!$D$44+'R&amp;C-Painel de Controle'!$D$46))/1000000),AD90+((('R&amp;C-Painel de Controle'!$D$88)*('R&amp;C-Painel de Controle'!$D$44+'R&amp;C-Painel de Controle'!$D$46))/1000000))</f>
        <v>27.331513322833175</v>
      </c>
      <c r="AE117" s="306">
        <f>IF('R-Definição'!$E$121="Existente",AE90+((('R&amp;C-Painel de Controle'!$D$88+'R&amp;C-Painel de Controle'!$D$89)*('R&amp;C-Painel de Controle'!$D$44+'R&amp;C-Painel de Controle'!$D$46))/1000000),AE90+((('R&amp;C-Painel de Controle'!$D$88)*('R&amp;C-Painel de Controle'!$D$44+'R&amp;C-Painel de Controle'!$D$46))/1000000))</f>
        <v>27.331513322833175</v>
      </c>
      <c r="AF117" s="306">
        <f>IF('R-Definição'!$E$121="Existente",AF90+((('R&amp;C-Painel de Controle'!$D$88+'R&amp;C-Painel de Controle'!$D$89)*('R&amp;C-Painel de Controle'!$D$44+'R&amp;C-Painel de Controle'!$D$46))/1000000),AF90+((('R&amp;C-Painel de Controle'!$D$88)*('R&amp;C-Painel de Controle'!$D$44+'R&amp;C-Painel de Controle'!$D$46))/1000000))</f>
        <v>27.331513322833175</v>
      </c>
      <c r="AG117" s="306">
        <f>IF('R-Definição'!$E$121="Existente",AG90+((('R&amp;C-Painel de Controle'!$D$88+'R&amp;C-Painel de Controle'!$D$89)*('R&amp;C-Painel de Controle'!$D$44+'R&amp;C-Painel de Controle'!$D$46))/1000000),AG90+((('R&amp;C-Painel de Controle'!$D$88)*('R&amp;C-Painel de Controle'!$D$44+'R&amp;C-Painel de Controle'!$D$46))/1000000))</f>
        <v>27.331513322833175</v>
      </c>
      <c r="AH117" s="306">
        <f>IF('R-Definição'!$E$121="Existente",AH90+((('R&amp;C-Painel de Controle'!$D$88+'R&amp;C-Painel de Controle'!$D$89)*('R&amp;C-Painel de Controle'!$D$44+'R&amp;C-Painel de Controle'!$D$46))/1000000),AH90+((('R&amp;C-Painel de Controle'!$D$88)*('R&amp;C-Painel de Controle'!$D$44+'R&amp;C-Painel de Controle'!$D$46))/1000000))</f>
        <v>27.331513322833175</v>
      </c>
      <c r="AI117" s="306">
        <f>IF('R-Definição'!$E$121="Existente",AI90+((('R&amp;C-Painel de Controle'!$D$88+'R&amp;C-Painel de Controle'!$D$89)*('R&amp;C-Painel de Controle'!$D$44+'R&amp;C-Painel de Controle'!$D$46))/1000000),AI90+((('R&amp;C-Painel de Controle'!$D$88)*('R&amp;C-Painel de Controle'!$D$44+'R&amp;C-Painel de Controle'!$D$46))/1000000))</f>
        <v>27.331513322833175</v>
      </c>
      <c r="AJ117" s="306">
        <f>IF('R-Definição'!$E$121="Existente",AJ90+((('R&amp;C-Painel de Controle'!$D$88+'R&amp;C-Painel de Controle'!$D$89)*('R&amp;C-Painel de Controle'!$D$44+'R&amp;C-Painel de Controle'!$D$46))/1000000),AJ90+((('R&amp;C-Painel de Controle'!$D$88)*('R&amp;C-Painel de Controle'!$D$44+'R&amp;C-Painel de Controle'!$D$46))/1000000))</f>
        <v>27.331513322833175</v>
      </c>
      <c r="AK117" s="306">
        <f>IF('R-Definição'!$E$121="Existente",AK90+((('R&amp;C-Painel de Controle'!$D$88+'R&amp;C-Painel de Controle'!$D$89)*('R&amp;C-Painel de Controle'!$D$44+'R&amp;C-Painel de Controle'!$D$46))/1000000),AK90+((('R&amp;C-Painel de Controle'!$D$88)*('R&amp;C-Painel de Controle'!$D$44+'R&amp;C-Painel de Controle'!$D$46))/1000000))</f>
        <v>27.331513322833175</v>
      </c>
      <c r="AL117" s="306">
        <f>IF('R-Definição'!$E$121="Existente",AL90+((('R&amp;C-Painel de Controle'!$D$88+'R&amp;C-Painel de Controle'!$D$89)*('R&amp;C-Painel de Controle'!$D$44+'R&amp;C-Painel de Controle'!$D$46))/1000000),AL90+((('R&amp;C-Painel de Controle'!$D$88)*('R&amp;C-Painel de Controle'!$D$44+'R&amp;C-Painel de Controle'!$D$46))/1000000))</f>
        <v>27.331513322833175</v>
      </c>
      <c r="AM117" s="306">
        <f>IF('R-Definição'!$E$121="Existente",AM90+((('R&amp;C-Painel de Controle'!$D$88+'R&amp;C-Painel de Controle'!$D$89)*('R&amp;C-Painel de Controle'!$D$44+'R&amp;C-Painel de Controle'!$D$46))/1000000),AM90+((('R&amp;C-Painel de Controle'!$D$88)*('R&amp;C-Painel de Controle'!$D$44+'R&amp;C-Painel de Controle'!$D$46))/1000000))</f>
        <v>27.331513322833175</v>
      </c>
      <c r="AN117" s="306">
        <f>IF('R-Definição'!$E$121="Existente",AN90+((('R&amp;C-Painel de Controle'!$D$88+'R&amp;C-Painel de Controle'!$D$89)*('R&amp;C-Painel de Controle'!$D$44+'R&amp;C-Painel de Controle'!$D$46))/1000000),AN90+((('R&amp;C-Painel de Controle'!$D$88)*('R&amp;C-Painel de Controle'!$D$44+'R&amp;C-Painel de Controle'!$D$46))/1000000))</f>
        <v>27.331513322833175</v>
      </c>
      <c r="AO117" s="306">
        <f>IF('R-Definição'!$E$121="Existente",AO90+((('R&amp;C-Painel de Controle'!$D$88+'R&amp;C-Painel de Controle'!$D$89)*('R&amp;C-Painel de Controle'!$D$44+'R&amp;C-Painel de Controle'!$D$46))/1000000),AO90+((('R&amp;C-Painel de Controle'!$D$88)*('R&amp;C-Painel de Controle'!$D$44+'R&amp;C-Painel de Controle'!$D$46))/1000000))</f>
        <v>27.331513322833175</v>
      </c>
      <c r="AP117" s="306">
        <f>IF('R-Definição'!$E$121="Existente",AP90+((('R&amp;C-Painel de Controle'!$D$88+'R&amp;C-Painel de Controle'!$D$89)*('R&amp;C-Painel de Controle'!$D$44+'R&amp;C-Painel de Controle'!$D$46))/1000000),AP90+((('R&amp;C-Painel de Controle'!$D$88)*('R&amp;C-Painel de Controle'!$D$44+'R&amp;C-Painel de Controle'!$D$46))/1000000))</f>
        <v>27.331513322833175</v>
      </c>
      <c r="AQ117" s="306">
        <f>IF('R-Definição'!$E$121="Existente",AQ90+((('R&amp;C-Painel de Controle'!$D$88+'R&amp;C-Painel de Controle'!$D$89)*('R&amp;C-Painel de Controle'!$D$44+'R&amp;C-Painel de Controle'!$D$46))/1000000),AQ90+((('R&amp;C-Painel de Controle'!$D$88)*('R&amp;C-Painel de Controle'!$D$44+'R&amp;C-Painel de Controle'!$D$46))/1000000))</f>
        <v>27.331513322833175</v>
      </c>
      <c r="AR117" s="306">
        <f>IF('R-Definição'!$E$121="Existente",AR90+((('R&amp;C-Painel de Controle'!$D$88+'R&amp;C-Painel de Controle'!$D$89)*('R&amp;C-Painel de Controle'!$D$44+'R&amp;C-Painel de Controle'!$D$46))/1000000),AR90+((('R&amp;C-Painel de Controle'!$D$88)*('R&amp;C-Painel de Controle'!$D$44+'R&amp;C-Painel de Controle'!$D$46))/1000000))</f>
        <v>27.331513322833175</v>
      </c>
      <c r="AS117" s="306">
        <f>IF('R-Definição'!$E$121="Existente",AS90+((('R&amp;C-Painel de Controle'!$D$88+'R&amp;C-Painel de Controle'!$D$89)*('R&amp;C-Painel de Controle'!$D$44+'R&amp;C-Painel de Controle'!$D$46))/1000000),AS90+((('R&amp;C-Painel de Controle'!$D$88)*('R&amp;C-Painel de Controle'!$D$44+'R&amp;C-Painel de Controle'!$D$46))/1000000))</f>
        <v>27.331513322833175</v>
      </c>
      <c r="AT117" s="306">
        <f>IF('R-Definição'!$E$121="Existente",AT90+((('R&amp;C-Painel de Controle'!$D$88+'R&amp;C-Painel de Controle'!$D$89)*('R&amp;C-Painel de Controle'!$D$44+'R&amp;C-Painel de Controle'!$D$46))/1000000),AT90+((('R&amp;C-Painel de Controle'!$D$88)*('R&amp;C-Painel de Controle'!$D$44+'R&amp;C-Painel de Controle'!$D$46))/1000000))</f>
        <v>27.331513322833175</v>
      </c>
      <c r="AU117" s="306">
        <f>IF('R-Definição'!$E$121="Existente",AU90+((('R&amp;C-Painel de Controle'!$D$88+'R&amp;C-Painel de Controle'!$D$89)*('R&amp;C-Painel de Controle'!$D$44+'R&amp;C-Painel de Controle'!$D$46))/1000000),AU90+((('R&amp;C-Painel de Controle'!$D$88)*('R&amp;C-Painel de Controle'!$D$44+'R&amp;C-Painel de Controle'!$D$46))/1000000))</f>
        <v>27.331513322833175</v>
      </c>
      <c r="AV117" s="306">
        <f>IF('R-Definição'!$E$121="Existente",AV90+((('R&amp;C-Painel de Controle'!$D$88+'R&amp;C-Painel de Controle'!$D$89)*('R&amp;C-Painel de Controle'!$D$44+'R&amp;C-Painel de Controle'!$D$46))/1000000),AV90+((('R&amp;C-Painel de Controle'!$D$88)*('R&amp;C-Painel de Controle'!$D$44+'R&amp;C-Painel de Controle'!$D$46))/1000000))</f>
        <v>27.331513322833175</v>
      </c>
      <c r="AW117" s="306">
        <f>IF('R-Definição'!$E$121="Existente",AW90+((('R&amp;C-Painel de Controle'!$D$88+'R&amp;C-Painel de Controle'!$D$89)*('R&amp;C-Painel de Controle'!$D$44+'R&amp;C-Painel de Controle'!$D$46))/1000000),AW90+((('R&amp;C-Painel de Controle'!$D$88)*('R&amp;C-Painel de Controle'!$D$44+'R&amp;C-Painel de Controle'!$D$46))/1000000))</f>
        <v>27.331513322833175</v>
      </c>
      <c r="AX117" s="306">
        <f>IF('R-Definição'!$E$121="Existente",AX90+((('R&amp;C-Painel de Controle'!$D$88+'R&amp;C-Painel de Controle'!$D$89)*('R&amp;C-Painel de Controle'!$D$44+'R&amp;C-Painel de Controle'!$D$46))/1000000),AX90+((('R&amp;C-Painel de Controle'!$D$88)*('R&amp;C-Painel de Controle'!$D$44+'R&amp;C-Painel de Controle'!$D$46))/1000000))</f>
        <v>27.331513322833175</v>
      </c>
      <c r="AY117" s="306">
        <f>IF('R-Definição'!$E$121="Existente",AY90+((('R&amp;C-Painel de Controle'!$D$88+'R&amp;C-Painel de Controle'!$D$89)*('R&amp;C-Painel de Controle'!$D$44+'R&amp;C-Painel de Controle'!$D$46))/1000000),AY90+((('R&amp;C-Painel de Controle'!$D$88)*('R&amp;C-Painel de Controle'!$D$44+'R&amp;C-Painel de Controle'!$D$46))/1000000))</f>
        <v>27.331513322833175</v>
      </c>
      <c r="AZ117" s="306">
        <f>IF('R-Definição'!$E$121="Existente",AZ90+((('R&amp;C-Painel de Controle'!$D$88+'R&amp;C-Painel de Controle'!$D$89)*('R&amp;C-Painel de Controle'!$D$44+'R&amp;C-Painel de Controle'!$D$46))/1000000),AZ90+((('R&amp;C-Painel de Controle'!$D$88)*('R&amp;C-Painel de Controle'!$D$44+'R&amp;C-Painel de Controle'!$D$46))/1000000))</f>
        <v>27.331513322833175</v>
      </c>
      <c r="BA117" s="306">
        <f>IF('R-Definição'!$E$121="Existente",BA90+((('R&amp;C-Painel de Controle'!$D$88+'R&amp;C-Painel de Controle'!$D$89)*('R&amp;C-Painel de Controle'!$D$44+'R&amp;C-Painel de Controle'!$D$46))/1000000),BA90+((('R&amp;C-Painel de Controle'!$D$88)*('R&amp;C-Painel de Controle'!$D$44+'R&amp;C-Painel de Controle'!$D$46))/1000000))</f>
        <v>27.331513322833175</v>
      </c>
      <c r="BB117" s="306">
        <f>IF('R-Definição'!$E$121="Existente",BB90+((('R&amp;C-Painel de Controle'!$D$88+'R&amp;C-Painel de Controle'!$D$89)*('R&amp;C-Painel de Controle'!$D$44+'R&amp;C-Painel de Controle'!$D$46))/1000000),BB90+((('R&amp;C-Painel de Controle'!$D$88)*('R&amp;C-Painel de Controle'!$D$44+'R&amp;C-Painel de Controle'!$D$46))/1000000))</f>
        <v>27.331513322833175</v>
      </c>
      <c r="BC117" s="306">
        <f>IF('R-Definição'!$E$121="Existente",BC90+((('R&amp;C-Painel de Controle'!$D$88+'R&amp;C-Painel de Controle'!$D$89)*('R&amp;C-Painel de Controle'!$D$44+'R&amp;C-Painel de Controle'!$D$46))/1000000),BC90+((('R&amp;C-Painel de Controle'!$D$88)*('R&amp;C-Painel de Controle'!$D$44+'R&amp;C-Painel de Controle'!$D$46))/1000000))</f>
        <v>27.331513322833175</v>
      </c>
    </row>
    <row r="118" spans="1:58" s="206" customFormat="1" ht="18" customHeight="1" x14ac:dyDescent="0.25">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 customHeight="1" x14ac:dyDescent="0.25">
      <c r="B119" s="910" t="s">
        <v>673</v>
      </c>
      <c r="C119" s="306">
        <f>(C117+'R&amp;C-Painel de Controle'!$D$28)*(1+$C$118)</f>
        <v>3.9460975</v>
      </c>
      <c r="D119" s="306">
        <f>(D117+'R&amp;C-Painel de Controle'!$D$28)*(1+$C$118)</f>
        <v>3.9460975</v>
      </c>
      <c r="E119" s="306">
        <f>(E117+'R&amp;C-Painel de Controle'!$D$28)*(1+$C$118)</f>
        <v>3.9460975</v>
      </c>
      <c r="F119" s="306">
        <f>(F117+'R&amp;C-Painel de Controle'!$D$28)*(1+$C$118)</f>
        <v>28.331513322833175</v>
      </c>
      <c r="G119" s="306">
        <f>(G117+'R&amp;C-Painel de Controle'!$D$28)*(1+$C$118)</f>
        <v>28.331513322833175</v>
      </c>
      <c r="H119" s="306">
        <f>(H117+'R&amp;C-Painel de Controle'!$D$28)*(1+$C$118)</f>
        <v>28.331513322833175</v>
      </c>
      <c r="I119" s="306">
        <f>(I117+'R&amp;C-Painel de Controle'!$D$28)*(1+$C$118)</f>
        <v>28.331513322833175</v>
      </c>
      <c r="J119" s="306">
        <f>(J117+'R&amp;C-Painel de Controle'!$D$28)*(1+$C$118)</f>
        <v>28.331513322833175</v>
      </c>
      <c r="K119" s="306">
        <f>(K117+'R&amp;C-Painel de Controle'!$D$28)*(1+$C$118)</f>
        <v>28.331513322833175</v>
      </c>
      <c r="L119" s="306">
        <f>(L117+'R&amp;C-Painel de Controle'!$D$28)*(1+$C$118)</f>
        <v>28.331513322833175</v>
      </c>
      <c r="M119" s="306">
        <f>(M117+'R&amp;C-Painel de Controle'!$D$28)*(1+$C$118)</f>
        <v>28.331513322833175</v>
      </c>
      <c r="N119" s="306">
        <f>(N117+'R&amp;C-Painel de Controle'!$D$28)*(1+$C$118)</f>
        <v>28.331513322833175</v>
      </c>
      <c r="O119" s="306">
        <f>(O117+'R&amp;C-Painel de Controle'!$D$28)*(1+$C$118)</f>
        <v>28.331513322833175</v>
      </c>
      <c r="P119" s="306">
        <f>(P117+'R&amp;C-Painel de Controle'!$D$28)*(1+$C$118)</f>
        <v>28.331513322833175</v>
      </c>
      <c r="Q119" s="306">
        <f>(Q117+'R&amp;C-Painel de Controle'!$D$28)*(1+$C$118)</f>
        <v>28.331513322833175</v>
      </c>
      <c r="R119" s="306">
        <f>(R117+'R&amp;C-Painel de Controle'!$D$28)*(1+$C$118)</f>
        <v>28.331513322833175</v>
      </c>
      <c r="S119" s="306">
        <f>(S117+'R&amp;C-Painel de Controle'!$D$28)*(1+$C$118)</f>
        <v>28.331513322833175</v>
      </c>
      <c r="T119" s="306">
        <f>(T117+'R&amp;C-Painel de Controle'!$D$28)*(1+$C$118)</f>
        <v>28.331513322833175</v>
      </c>
      <c r="U119" s="306">
        <f>(U117+'R&amp;C-Painel de Controle'!$D$28)*(1+$C$118)</f>
        <v>28.331513322833175</v>
      </c>
      <c r="V119" s="306">
        <f>(V117+'R&amp;C-Painel de Controle'!$D$28)*(1+$C$118)</f>
        <v>28.331513322833175</v>
      </c>
      <c r="W119" s="306">
        <f>(W117+'R&amp;C-Painel de Controle'!$D$28)*(1+$C$118)</f>
        <v>28.331513322833175</v>
      </c>
      <c r="X119" s="306">
        <f>(X117+'R&amp;C-Painel de Controle'!$D$28)*(1+$C$118)</f>
        <v>28.331513322833175</v>
      </c>
      <c r="Y119" s="306">
        <f>(Y117+'R&amp;C-Painel de Controle'!$D$28)*(1+$C$118)</f>
        <v>28.331513322833175</v>
      </c>
      <c r="Z119" s="306">
        <f>(Z117+'R&amp;C-Painel de Controle'!$D$28)*(1+$C$118)</f>
        <v>28.331513322833175</v>
      </c>
      <c r="AA119" s="306">
        <f>(AA117+'R&amp;C-Painel de Controle'!$D$28)*(1+$C$118)</f>
        <v>28.331513322833175</v>
      </c>
      <c r="AB119" s="306">
        <f>(AB117+'R&amp;C-Painel de Controle'!$D$28)*(1+$C$118)</f>
        <v>28.331513322833175</v>
      </c>
      <c r="AC119" s="306">
        <f>(AC117+'R&amp;C-Painel de Controle'!$D$28)*(1+$C$118)</f>
        <v>28.331513322833175</v>
      </c>
      <c r="AD119" s="306">
        <f>(AD117+'R&amp;C-Painel de Controle'!$D$28)*(1+$C$118)</f>
        <v>28.331513322833175</v>
      </c>
      <c r="AE119" s="306">
        <f>(AE117+'R&amp;C-Painel de Controle'!$D$28)*(1+$C$118)</f>
        <v>28.331513322833175</v>
      </c>
      <c r="AF119" s="306">
        <f>(AF117+'R&amp;C-Painel de Controle'!$D$28)*(1+$C$118)</f>
        <v>28.331513322833175</v>
      </c>
      <c r="AG119" s="306">
        <f>(AG117+'R&amp;C-Painel de Controle'!$D$28)*(1+$C$118)</f>
        <v>28.331513322833175</v>
      </c>
      <c r="AH119" s="306">
        <f>(AH117+'R&amp;C-Painel de Controle'!$D$28)*(1+$C$118)</f>
        <v>28.331513322833175</v>
      </c>
      <c r="AI119" s="306">
        <f>(AI117+'R&amp;C-Painel de Controle'!$D$28)*(1+$C$118)</f>
        <v>28.331513322833175</v>
      </c>
      <c r="AJ119" s="306">
        <f>(AJ117+'R&amp;C-Painel de Controle'!$D$28)*(1+$C$118)</f>
        <v>28.331513322833175</v>
      </c>
      <c r="AK119" s="306">
        <f>(AK117+'R&amp;C-Painel de Controle'!$D$28)*(1+$C$118)</f>
        <v>28.331513322833175</v>
      </c>
      <c r="AL119" s="306">
        <f>(AL117+'R&amp;C-Painel de Controle'!$D$28)*(1+$C$118)</f>
        <v>28.331513322833175</v>
      </c>
      <c r="AM119" s="306">
        <f>(AM117+'R&amp;C-Painel de Controle'!$D$28)*(1+$C$118)</f>
        <v>28.331513322833175</v>
      </c>
      <c r="AN119" s="306">
        <f>(AN117+'R&amp;C-Painel de Controle'!$D$28)*(1+$C$118)</f>
        <v>28.331513322833175</v>
      </c>
      <c r="AO119" s="306">
        <f>(AO117+'R&amp;C-Painel de Controle'!$D$28)*(1+$C$118)</f>
        <v>28.331513322833175</v>
      </c>
      <c r="AP119" s="306">
        <f>(AP117+'R&amp;C-Painel de Controle'!$D$28)*(1+$C$118)</f>
        <v>28.331513322833175</v>
      </c>
      <c r="AQ119" s="306">
        <f>(AQ117+'R&amp;C-Painel de Controle'!$D$28)*(1+$C$118)</f>
        <v>28.331513322833175</v>
      </c>
      <c r="AR119" s="306">
        <f>(AR117+'R&amp;C-Painel de Controle'!$D$28)*(1+$C$118)</f>
        <v>28.331513322833175</v>
      </c>
      <c r="AS119" s="306">
        <f>(AS117+'R&amp;C-Painel de Controle'!$D$28)*(1+$C$118)</f>
        <v>28.331513322833175</v>
      </c>
      <c r="AT119" s="306">
        <f>(AT117+'R&amp;C-Painel de Controle'!$D$28)*(1+$C$118)</f>
        <v>28.331513322833175</v>
      </c>
      <c r="AU119" s="306">
        <f>(AU117+'R&amp;C-Painel de Controle'!$D$28)*(1+$C$118)</f>
        <v>28.331513322833175</v>
      </c>
      <c r="AV119" s="306">
        <f>(AV117+'R&amp;C-Painel de Controle'!$D$28)*(1+$C$118)</f>
        <v>28.331513322833175</v>
      </c>
      <c r="AW119" s="306">
        <f>(AW117+'R&amp;C-Painel de Controle'!$D$28)*(1+$C$118)</f>
        <v>28.331513322833175</v>
      </c>
      <c r="AX119" s="306">
        <f>(AX117+'R&amp;C-Painel de Controle'!$D$28)*(1+$C$118)</f>
        <v>28.331513322833175</v>
      </c>
      <c r="AY119" s="306">
        <f>(AY117+'R&amp;C-Painel de Controle'!$D$28)*(1+$C$118)</f>
        <v>28.331513322833175</v>
      </c>
      <c r="AZ119" s="306">
        <f>(AZ117+'R&amp;C-Painel de Controle'!$D$28)*(1+$C$118)</f>
        <v>28.331513322833175</v>
      </c>
      <c r="BA119" s="306">
        <f>(BA117+'R&amp;C-Painel de Controle'!$D$28)*(1+$C$118)</f>
        <v>28.331513322833175</v>
      </c>
      <c r="BB119" s="306">
        <f>(BB117+'R&amp;C-Painel de Controle'!$D$28)*(1+$C$118)</f>
        <v>28.331513322833175</v>
      </c>
      <c r="BC119" s="306">
        <f>(BC117+'R&amp;C-Painel de Controle'!$D$28)*(1+$C$118)</f>
        <v>28.331513322833175</v>
      </c>
    </row>
    <row r="120" spans="1:58" s="206" customFormat="1" ht="18" customHeight="1" x14ac:dyDescent="0.25">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 customHeight="1" collapsed="1" x14ac:dyDescent="0.25">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25">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25">
      <c r="B123" s="906" t="str">
        <f>B92</f>
        <v>Triagem Manual — Seletivos</v>
      </c>
      <c r="C123" s="325" t="str">
        <f>C92</f>
        <v>Não</v>
      </c>
      <c r="D123" s="325">
        <f>D92</f>
        <v>0</v>
      </c>
      <c r="R123" s="299"/>
    </row>
    <row r="124" spans="1:58" s="206" customFormat="1" ht="18" hidden="1" customHeight="1" outlineLevel="1" x14ac:dyDescent="0.25">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25">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25">
      <c r="B126" s="906" t="str">
        <f>B95</f>
        <v>Triagem Mecanizada</v>
      </c>
      <c r="C126" s="325" t="str">
        <f>C95</f>
        <v>Sim</v>
      </c>
      <c r="D126" s="325">
        <f>D95</f>
        <v>146467.94871794875</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25">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25">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25">
      <c r="B129" s="906" t="str">
        <f>B98</f>
        <v>Produção de CDR TM — Trat. Mec.</v>
      </c>
      <c r="C129" s="325" t="str">
        <f>C98</f>
        <v>Sim</v>
      </c>
      <c r="D129" s="325">
        <f>D98</f>
        <v>55364.88461538461</v>
      </c>
      <c r="BC129" s="916"/>
      <c r="BD129" s="299"/>
      <c r="BE129" s="299"/>
      <c r="BF129" s="299"/>
    </row>
    <row r="130" spans="2:58" s="206" customFormat="1" ht="18" hidden="1" customHeight="1" outlineLevel="1" x14ac:dyDescent="0.25">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25">
      <c r="B131" s="285" t="s">
        <v>411</v>
      </c>
      <c r="C131" s="333">
        <v>0</v>
      </c>
      <c r="D131" s="334">
        <f>IF(D45&gt;0,'R&amp;C-Painel de Controle'!$O$59*(1-0.0925)*D35/1000000,0)</f>
        <v>0</v>
      </c>
      <c r="E131" s="334">
        <f>IF(E45&gt;0,'R&amp;C-Painel de Controle'!$O$59*(1-0.0925)*E35/1000000,0)</f>
        <v>0</v>
      </c>
      <c r="F131" s="334">
        <f>IF(F45&gt;0,'R&amp;C-Painel de Controle'!$O$59*(1-0.0925)*F35/1000000,0)</f>
        <v>2.6157715799564443</v>
      </c>
      <c r="G131" s="334">
        <f>IF(G45&gt;0,'R&amp;C-Painel de Controle'!$O$59*(1-0.0925)*G35/1000000,0)</f>
        <v>2.6280657063822392</v>
      </c>
      <c r="H131" s="334">
        <f>IF(H45&gt;0,'R&amp;C-Painel de Controle'!$O$59*(1-0.0925)*H35/1000000,0)</f>
        <v>2.6404176152022356</v>
      </c>
      <c r="I131" s="334">
        <f>IF(I45&gt;0,'R&amp;C-Painel de Controle'!$O$59*(1-0.0925)*I35/1000000,0)</f>
        <v>2.6528275779936856</v>
      </c>
      <c r="J131" s="334">
        <f>IF(J45&gt;0,'R&amp;C-Painel de Controle'!$O$59*(1-0.0925)*J35/1000000,0)</f>
        <v>2.6652958676102561</v>
      </c>
      <c r="K131" s="334">
        <f>IF(K45&gt;0,'R&amp;C-Painel de Controle'!$O$59*(1-0.0925)*K35/1000000,0)</f>
        <v>2.6778227581880247</v>
      </c>
      <c r="L131" s="334">
        <f>IF(L45&gt;0,'R&amp;C-Painel de Controle'!$O$59*(1-0.0925)*L35/1000000,0)</f>
        <v>2.6904085251515077</v>
      </c>
      <c r="M131" s="334">
        <f>IF(M45&gt;0,'R&amp;C-Painel de Controle'!$O$59*(1-0.0925)*M35/1000000,0)</f>
        <v>2.7030534452197204</v>
      </c>
      <c r="N131" s="334">
        <f>IF(N45&gt;0,'R&amp;C-Painel de Controle'!$O$59*(1-0.0925)*N35/1000000,0)</f>
        <v>2.7157577964122526</v>
      </c>
      <c r="O131" s="334">
        <f>IF(O45&gt;0,'R&amp;C-Painel de Controle'!$O$59*(1-0.0925)*O35/1000000,0)</f>
        <v>2.72852185805539</v>
      </c>
      <c r="P131" s="334">
        <f>IF(P45&gt;0,'R&amp;C-Painel de Controle'!$O$59*(1-0.0925)*P35/1000000,0)</f>
        <v>2.7413459107882496</v>
      </c>
      <c r="Q131" s="334">
        <f>IF(Q45&gt;0,'R&amp;C-Painel de Controle'!$O$59*(1-0.0925)*Q35/1000000,0)</f>
        <v>2.7542302365689539</v>
      </c>
      <c r="R131" s="334">
        <f>IF(R45&gt;0,'R&amp;C-Painel de Controle'!$O$59*(1-0.0925)*R35/1000000,0)</f>
        <v>2.7671751186808282</v>
      </c>
      <c r="S131" s="334">
        <f>IF(S45&gt;0,'R&amp;C-Painel de Controle'!$O$59*(1-0.0925)*S35/1000000,0)</f>
        <v>2.7801808417386278</v>
      </c>
      <c r="T131" s="334">
        <f>IF(T45&gt;0,'R&amp;C-Painel de Controle'!$O$59*(1-0.0925)*T35/1000000,0)</f>
        <v>2.7932476916947988</v>
      </c>
      <c r="U131" s="334">
        <f>IF(U45&gt;0,'R&amp;C-Painel de Controle'!$O$59*(1-0.0925)*U35/1000000,0)</f>
        <v>2.8063759558457644</v>
      </c>
      <c r="V131" s="334">
        <f>IF(V45&gt;0,'R&amp;C-Painel de Controle'!$O$59*(1-0.0925)*V35/1000000,0)</f>
        <v>2.819565922838239</v>
      </c>
      <c r="W131" s="334">
        <f>IF(W45&gt;0,'R&amp;C-Painel de Controle'!$O$59*(1-0.0925)*W35/1000000,0)</f>
        <v>2.8328178826755783</v>
      </c>
      <c r="X131" s="334">
        <f>IF(X45&gt;0,'R&amp;C-Painel de Controle'!$O$59*(1-0.0925)*X35/1000000,0)</f>
        <v>2.8461321267241533</v>
      </c>
      <c r="Y131" s="334">
        <f>IF(Y45&gt;0,'R&amp;C-Painel de Controle'!$O$59*(1-0.0925)*Y35/1000000,0)</f>
        <v>2.8595089477197564</v>
      </c>
      <c r="Z131" s="334">
        <f>IF(Z45&gt;0,'R&amp;C-Painel de Controle'!$O$59*(1-0.0925)*Z35/1000000,0)</f>
        <v>2.8729486397740396</v>
      </c>
      <c r="AA131" s="334">
        <f>IF(AA45&gt;0,'R&amp;C-Painel de Controle'!$O$59*(1-0.0925)*AA35/1000000,0)</f>
        <v>2.886451498380977</v>
      </c>
      <c r="AB131" s="334">
        <f>IF(AB45&gt;0,'R&amp;C-Painel de Controle'!$O$59*(1-0.0925)*AB35/1000000,0)</f>
        <v>2.9000178204233675</v>
      </c>
      <c r="AC131" s="334">
        <f>IF(AC45&gt;0,'R&amp;C-Painel de Controle'!$O$59*(1-0.0925)*AC35/1000000,0)</f>
        <v>2.9136479041793568</v>
      </c>
      <c r="AD131" s="334">
        <f>IF(AD45&gt;0,'R&amp;C-Painel de Controle'!$O$59*(1-0.0925)*AD35/1000000,0)</f>
        <v>2.9273420493289994</v>
      </c>
      <c r="AE131" s="334">
        <f>IF(AE45&gt;0,'R&amp;C-Painel de Controle'!$O$59*(1-0.0925)*AE35/1000000,0)</f>
        <v>2.9411005569608455</v>
      </c>
      <c r="AF131" s="334">
        <f>IF(AF45&gt;0,'R&amp;C-Painel de Controle'!$O$59*(1-0.0925)*AF35/1000000,0)</f>
        <v>2.9549237295785615</v>
      </c>
      <c r="AG131" s="334">
        <f>IF(AG45&gt;0,'R&amp;C-Painel de Controle'!$O$59*(1-0.0925)*AG35/1000000,0)</f>
        <v>2.9688118711075808</v>
      </c>
      <c r="AH131" s="334">
        <f>IF(AH45&gt;0,'R&amp;C-Painel de Controle'!$O$59*(1-0.0925)*AH35/1000000,0)</f>
        <v>2.982765286901786</v>
      </c>
      <c r="AI131" s="334">
        <f>IF(AI45&gt;0,'R&amp;C-Painel de Controle'!$O$59*(1-0.0925)*AI35/1000000,0)</f>
        <v>2.9967842837502241</v>
      </c>
      <c r="AJ131" s="334">
        <f>IF(AJ45&gt;0,'R&amp;C-Painel de Controle'!$O$59*(1-0.0925)*AJ35/1000000,0)</f>
        <v>3.0108691698838497</v>
      </c>
      <c r="AK131" s="334">
        <f>IF(AK45&gt;0,'R&amp;C-Painel de Controle'!$O$59*(1-0.0925)*AK35/1000000,0)</f>
        <v>3.0250202549823038</v>
      </c>
      <c r="AL131" s="334">
        <f>IF(AL45&gt;0,'R&amp;C-Painel de Controle'!$O$59*(1-0.0925)*AL35/1000000,0)</f>
        <v>3.0392378501807205</v>
      </c>
      <c r="AM131" s="334">
        <f>IF(AM45&gt;0,'R&amp;C-Painel de Controle'!$O$59*(1-0.0925)*AM35/1000000,0)</f>
        <v>3.0535222680765699</v>
      </c>
      <c r="AN131" s="334">
        <f>IF(AN45&gt;0,'R&amp;C-Painel de Controle'!$O$59*(1-0.0925)*AN35/1000000,0)</f>
        <v>3.0678738227365296</v>
      </c>
      <c r="AO131" s="334">
        <f>IF(AO45&gt;0,'R&amp;C-Painel de Controle'!$O$59*(1-0.0925)*AO35/1000000,0)</f>
        <v>3.0822928297033911</v>
      </c>
      <c r="AP131" s="334">
        <f>IF(AP45&gt;0,'R&amp;C-Painel de Controle'!$O$59*(1-0.0925)*AP35/1000000,0)</f>
        <v>3.0967796060029968</v>
      </c>
      <c r="AQ131" s="334">
        <f>IF(AQ45&gt;0,'R&amp;C-Painel de Controle'!$O$59*(1-0.0925)*AQ35/1000000,0)</f>
        <v>3.1113344701512102</v>
      </c>
      <c r="AR131" s="334">
        <f>IF(AR45&gt;0,'R&amp;C-Painel de Controle'!$O$59*(1-0.0925)*AR35/1000000,0)</f>
        <v>3.1259577421609208</v>
      </c>
      <c r="AS131" s="334">
        <f>IF(AS45&gt;0,'R&amp;C-Painel de Controle'!$O$59*(1-0.0925)*AS35/1000000,0)</f>
        <v>3.1406497435490772</v>
      </c>
      <c r="AT131" s="334">
        <f>IF(AT45&gt;0,'R&amp;C-Painel de Controle'!$O$59*(1-0.0925)*AT35/1000000,0)</f>
        <v>3.155410797343758</v>
      </c>
      <c r="AU131" s="334">
        <f>IF(AU45&gt;0,'R&amp;C-Painel de Controle'!$O$59*(1-0.0925)*AU35/1000000,0)</f>
        <v>3.1702412280912733</v>
      </c>
      <c r="AV131" s="334">
        <f>IF(AV45&gt;0,'R&amp;C-Painel de Controle'!$O$59*(1-0.0925)*AV35/1000000,0)</f>
        <v>3.1851413618633022</v>
      </c>
      <c r="AW131" s="334">
        <f>IF(AW45&gt;0,'R&amp;C-Painel de Controle'!$O$59*(1-0.0925)*AW35/1000000,0)</f>
        <v>3.2001115262640591</v>
      </c>
      <c r="AX131" s="334">
        <f>IF(AX45&gt;0,'R&amp;C-Painel de Controle'!$O$59*(1-0.0925)*AX35/1000000,0)</f>
        <v>3.2151520504375006</v>
      </c>
      <c r="AY131" s="334">
        <f>IF(AY45&gt;0,'R&amp;C-Painel de Controle'!$O$59*(1-0.0925)*AY35/1000000,0)</f>
        <v>3.2302632650745569</v>
      </c>
      <c r="AZ131" s="334">
        <f>IF(AZ45&gt;0,'R&amp;C-Painel de Controle'!$O$59*(1-0.0925)*AZ35/1000000,0)</f>
        <v>3.2454455024204067</v>
      </c>
      <c r="BA131" s="334">
        <f>IF(BA45&gt;0,'R&amp;C-Painel de Controle'!$O$59*(1-0.0925)*BA35/1000000,0)</f>
        <v>3.2606990962817828</v>
      </c>
      <c r="BB131" s="334">
        <f>IF(BB45&gt;0,'R&amp;C-Painel de Controle'!$O$59*(1-0.0925)*BB35/1000000,0)</f>
        <v>3.2760243820343069</v>
      </c>
      <c r="BC131" s="334">
        <f>IF(BC45&gt;0,'R&amp;C-Painel de Controle'!$O$59*(1-0.0925)*BC35/1000000,0)</f>
        <v>3.2914216966298677</v>
      </c>
      <c r="BD131" s="305"/>
      <c r="BE131" s="305"/>
      <c r="BF131" s="305"/>
    </row>
    <row r="132" spans="2:58" s="206" customFormat="1" ht="18" hidden="1" customHeight="1" outlineLevel="1" x14ac:dyDescent="0.25">
      <c r="B132" s="906" t="str">
        <f>B101</f>
        <v>Prod. CDR TMB — Trat. Mec./Biológ.</v>
      </c>
      <c r="C132" s="325" t="str">
        <f>C101</f>
        <v>Não</v>
      </c>
      <c r="D132" s="325">
        <f>D101</f>
        <v>0</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25">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25">
      <c r="B134" s="285" t="s">
        <v>411</v>
      </c>
      <c r="C134" s="333">
        <v>0</v>
      </c>
      <c r="D134" s="334">
        <f>IF(D48&gt;0,'R&amp;C-Painel de Controle'!$O$62*(1-0.0925)*D35/1000000,0)</f>
        <v>0</v>
      </c>
      <c r="E134" s="334">
        <f>IF(E48&gt;0,'R&amp;C-Painel de Controle'!$O$62*(1-0.0925)*E35/1000000,0)</f>
        <v>0</v>
      </c>
      <c r="F134" s="334">
        <f>IF(F48&gt;0,'R&amp;C-Painel de Controle'!$O$62*(1-0.0925)*F35/1000000,0)</f>
        <v>0</v>
      </c>
      <c r="G134" s="334">
        <f>IF(G48&gt;0,'R&amp;C-Painel de Controle'!$O$62*(1-0.0925)*G35/1000000,0)</f>
        <v>0</v>
      </c>
      <c r="H134" s="334">
        <f>IF(H48&gt;0,'R&amp;C-Painel de Controle'!$O$62*(1-0.0925)*H35/1000000,0)</f>
        <v>0</v>
      </c>
      <c r="I134" s="334">
        <f>IF(I48&gt;0,'R&amp;C-Painel de Controle'!$O$62*(1-0.0925)*I35/1000000,0)</f>
        <v>0</v>
      </c>
      <c r="J134" s="334">
        <f>IF(J48&gt;0,'R&amp;C-Painel de Controle'!$O$62*(1-0.0925)*J35/1000000,0)</f>
        <v>0</v>
      </c>
      <c r="K134" s="334">
        <f>IF(K48&gt;0,'R&amp;C-Painel de Controle'!$O$62*(1-0.0925)*K35/1000000,0)</f>
        <v>0</v>
      </c>
      <c r="L134" s="334">
        <f>IF(L48&gt;0,'R&amp;C-Painel de Controle'!$O$62*(1-0.0925)*L35/1000000,0)</f>
        <v>0</v>
      </c>
      <c r="M134" s="334">
        <f>IF(M48&gt;0,'R&amp;C-Painel de Controle'!$O$62*(1-0.0925)*M35/1000000,0)</f>
        <v>0</v>
      </c>
      <c r="N134" s="334">
        <f>IF(N48&gt;0,'R&amp;C-Painel de Controle'!$O$62*(1-0.0925)*N35/1000000,0)</f>
        <v>0</v>
      </c>
      <c r="O134" s="334">
        <f>IF(O48&gt;0,'R&amp;C-Painel de Controle'!$O$62*(1-0.0925)*O35/1000000,0)</f>
        <v>0</v>
      </c>
      <c r="P134" s="334">
        <f>IF(P48&gt;0,'R&amp;C-Painel de Controle'!$O$62*(1-0.0925)*P35/1000000,0)</f>
        <v>0</v>
      </c>
      <c r="Q134" s="334">
        <f>IF(Q48&gt;0,'R&amp;C-Painel de Controle'!$O$62*(1-0.0925)*Q35/1000000,0)</f>
        <v>0</v>
      </c>
      <c r="R134" s="334">
        <f>IF(R48&gt;0,'R&amp;C-Painel de Controle'!$O$62*(1-0.0925)*R35/1000000,0)</f>
        <v>0</v>
      </c>
      <c r="S134" s="334">
        <f>IF(S48&gt;0,'R&amp;C-Painel de Controle'!$O$62*(1-0.0925)*S35/1000000,0)</f>
        <v>0</v>
      </c>
      <c r="T134" s="334">
        <f>IF(T48&gt;0,'R&amp;C-Painel de Controle'!$O$62*(1-0.0925)*T35/1000000,0)</f>
        <v>0</v>
      </c>
      <c r="U134" s="334">
        <f>IF(U48&gt;0,'R&amp;C-Painel de Controle'!$O$62*(1-0.0925)*U35/1000000,0)</f>
        <v>0</v>
      </c>
      <c r="V134" s="334">
        <f>IF(V48&gt;0,'R&amp;C-Painel de Controle'!$O$62*(1-0.0925)*V35/1000000,0)</f>
        <v>0</v>
      </c>
      <c r="W134" s="334">
        <f>IF(W48&gt;0,'R&amp;C-Painel de Controle'!$O$62*(1-0.0925)*W35/1000000,0)</f>
        <v>0</v>
      </c>
      <c r="X134" s="334">
        <f>IF(X48&gt;0,'R&amp;C-Painel de Controle'!$O$62*(1-0.0925)*X35/1000000,0)</f>
        <v>0</v>
      </c>
      <c r="Y134" s="334">
        <f>IF(Y48&gt;0,'R&amp;C-Painel de Controle'!$O$62*(1-0.0925)*Y35/1000000,0)</f>
        <v>0</v>
      </c>
      <c r="Z134" s="334">
        <f>IF(Z48&gt;0,'R&amp;C-Painel de Controle'!$O$62*(1-0.0925)*Z35/1000000,0)</f>
        <v>0</v>
      </c>
      <c r="AA134" s="334">
        <f>IF(AA48&gt;0,'R&amp;C-Painel de Controle'!$O$62*(1-0.0925)*AA35/1000000,0)</f>
        <v>0</v>
      </c>
      <c r="AB134" s="334">
        <f>IF(AB48&gt;0,'R&amp;C-Painel de Controle'!$O$62*(1-0.0925)*AB35/1000000,0)</f>
        <v>0</v>
      </c>
      <c r="AC134" s="334">
        <f>IF(AC48&gt;0,'R&amp;C-Painel de Controle'!$O$62*(1-0.0925)*AC35/1000000,0)</f>
        <v>0</v>
      </c>
      <c r="AD134" s="334">
        <f>IF(AD48&gt;0,'R&amp;C-Painel de Controle'!$O$62*(1-0.0925)*AD35/1000000,0)</f>
        <v>0</v>
      </c>
      <c r="AE134" s="334">
        <f>IF(AE48&gt;0,'R&amp;C-Painel de Controle'!$O$62*(1-0.0925)*AE35/1000000,0)</f>
        <v>0</v>
      </c>
      <c r="AF134" s="334">
        <f>IF(AF48&gt;0,'R&amp;C-Painel de Controle'!$O$62*(1-0.0925)*AF35/1000000,0)</f>
        <v>0</v>
      </c>
      <c r="AG134" s="334">
        <f>IF(AG48&gt;0,'R&amp;C-Painel de Controle'!$O$62*(1-0.0925)*AG35/1000000,0)</f>
        <v>0</v>
      </c>
      <c r="AH134" s="334">
        <f>IF(AH48&gt;0,'R&amp;C-Painel de Controle'!$O$62*(1-0.0925)*AH35/1000000,0)</f>
        <v>0</v>
      </c>
      <c r="AI134" s="334">
        <f>IF(AI48&gt;0,'R&amp;C-Painel de Controle'!$O$62*(1-0.0925)*AI35/1000000,0)</f>
        <v>0</v>
      </c>
      <c r="AJ134" s="334">
        <f>IF(AJ48&gt;0,'R&amp;C-Painel de Controle'!$O$62*(1-0.0925)*AJ35/1000000,0)</f>
        <v>0</v>
      </c>
      <c r="AK134" s="334">
        <f>IF(AK48&gt;0,'R&amp;C-Painel de Controle'!$O$62*(1-0.0925)*AK35/1000000,0)</f>
        <v>0</v>
      </c>
      <c r="AL134" s="334">
        <f>IF(AL48&gt;0,'R&amp;C-Painel de Controle'!$O$62*(1-0.0925)*AL35/1000000,0)</f>
        <v>0</v>
      </c>
      <c r="AM134" s="334">
        <f>IF(AM48&gt;0,'R&amp;C-Painel de Controle'!$O$62*(1-0.0925)*AM35/1000000,0)</f>
        <v>0</v>
      </c>
      <c r="AN134" s="334">
        <f>IF(AN48&gt;0,'R&amp;C-Painel de Controle'!$O$62*(1-0.0925)*AN35/1000000,0)</f>
        <v>0</v>
      </c>
      <c r="AO134" s="334">
        <f>IF(AO48&gt;0,'R&amp;C-Painel de Controle'!$O$62*(1-0.0925)*AO35/1000000,0)</f>
        <v>0</v>
      </c>
      <c r="AP134" s="334">
        <f>IF(AP48&gt;0,'R&amp;C-Painel de Controle'!$O$62*(1-0.0925)*AP35/1000000,0)</f>
        <v>0</v>
      </c>
      <c r="AQ134" s="334">
        <f>IF(AQ48&gt;0,'R&amp;C-Painel de Controle'!$O$62*(1-0.0925)*AQ35/1000000,0)</f>
        <v>0</v>
      </c>
      <c r="AR134" s="334">
        <f>IF(AR48&gt;0,'R&amp;C-Painel de Controle'!$O$62*(1-0.0925)*AR35/1000000,0)</f>
        <v>0</v>
      </c>
      <c r="AS134" s="334">
        <f>IF(AS48&gt;0,'R&amp;C-Painel de Controle'!$O$62*(1-0.0925)*AS35/1000000,0)</f>
        <v>0</v>
      </c>
      <c r="AT134" s="334">
        <f>IF(AT48&gt;0,'R&amp;C-Painel de Controle'!$O$62*(1-0.0925)*AT35/1000000,0)</f>
        <v>0</v>
      </c>
      <c r="AU134" s="334">
        <f>IF(AU48&gt;0,'R&amp;C-Painel de Controle'!$O$62*(1-0.0925)*AU35/1000000,0)</f>
        <v>0</v>
      </c>
      <c r="AV134" s="334">
        <f>IF(AV48&gt;0,'R&amp;C-Painel de Controle'!$O$62*(1-0.0925)*AV35/1000000,0)</f>
        <v>0</v>
      </c>
      <c r="AW134" s="334">
        <f>IF(AW48&gt;0,'R&amp;C-Painel de Controle'!$O$62*(1-0.0925)*AW35/1000000,0)</f>
        <v>0</v>
      </c>
      <c r="AX134" s="334">
        <f>IF(AX48&gt;0,'R&amp;C-Painel de Controle'!$O$62*(1-0.0925)*AX35/1000000,0)</f>
        <v>0</v>
      </c>
      <c r="AY134" s="334">
        <f>IF(AY48&gt;0,'R&amp;C-Painel de Controle'!$O$62*(1-0.0925)*AY35/1000000,0)</f>
        <v>0</v>
      </c>
      <c r="AZ134" s="334">
        <f>IF(AZ48&gt;0,'R&amp;C-Painel de Controle'!$O$62*(1-0.0925)*AZ35/1000000,0)</f>
        <v>0</v>
      </c>
      <c r="BA134" s="334">
        <f>IF(BA48&gt;0,'R&amp;C-Painel de Controle'!$O$62*(1-0.0925)*BA35/1000000,0)</f>
        <v>0</v>
      </c>
      <c r="BB134" s="334">
        <f>IF(BB48&gt;0,'R&amp;C-Painel de Controle'!$O$62*(1-0.0925)*BB35/1000000,0)</f>
        <v>0</v>
      </c>
      <c r="BC134" s="334">
        <f>IF(BC48&gt;0,'R&amp;C-Painel de Controle'!$O$62*(1-0.0925)*BC35/1000000,0)</f>
        <v>0</v>
      </c>
      <c r="BD134" s="305"/>
      <c r="BE134" s="305"/>
      <c r="BF134" s="305"/>
    </row>
    <row r="135" spans="2:58" s="206" customFormat="1" ht="18" hidden="1" customHeight="1" outlineLevel="1" x14ac:dyDescent="0.25">
      <c r="B135" s="906" t="str">
        <f>B104</f>
        <v>Biodigestão Anaeróbia</v>
      </c>
      <c r="C135" s="325" t="str">
        <f>C104</f>
        <v>Não'</v>
      </c>
      <c r="D135" s="325">
        <f>D104</f>
        <v>0</v>
      </c>
      <c r="BC135" s="916"/>
      <c r="BD135" s="299"/>
      <c r="BE135" s="299"/>
      <c r="BF135" s="299"/>
    </row>
    <row r="136" spans="2:58" s="206" customFormat="1" ht="18" hidden="1" customHeight="1" outlineLevel="1" x14ac:dyDescent="0.25">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25">
      <c r="B137" s="285" t="s">
        <v>411</v>
      </c>
      <c r="C137" s="333">
        <v>0</v>
      </c>
      <c r="D137" s="334">
        <f>IF(D51&gt;0,'R&amp;C-Painel de Controle'!$O$65*(1-0.0925-$C$10)*D35/1000000,0)</f>
        <v>0</v>
      </c>
      <c r="E137" s="334">
        <f>IF(E51&gt;0,'R&amp;C-Painel de Controle'!$O$65*(1-0.0925-$C$10)*E35/1000000,0)</f>
        <v>0</v>
      </c>
      <c r="F137" s="334">
        <f>IF(F51&gt;0,'R&amp;C-Painel de Controle'!$O$65*(1-0.0925-$C$10)*F35/1000000,0)</f>
        <v>0</v>
      </c>
      <c r="G137" s="334">
        <f>IF(G51&gt;0,'R&amp;C-Painel de Controle'!$O$65*(1-0.0925-$C$10)*G35/1000000,0)</f>
        <v>0</v>
      </c>
      <c r="H137" s="334">
        <f>IF(H51&gt;0,'R&amp;C-Painel de Controle'!$O$65*(1-0.0925-$C$10)*H35/1000000,0)</f>
        <v>0</v>
      </c>
      <c r="I137" s="334">
        <f>IF(I51&gt;0,'R&amp;C-Painel de Controle'!$O$65*(1-0.0925-$C$10)*I35/1000000,0)</f>
        <v>0</v>
      </c>
      <c r="J137" s="334">
        <f>IF(J51&gt;0,'R&amp;C-Painel de Controle'!$O$65*(1-0.0925-$C$10)*J35/1000000,0)</f>
        <v>0</v>
      </c>
      <c r="K137" s="334">
        <f>IF(K51&gt;0,'R&amp;C-Painel de Controle'!$O$65*(1-0.0925-$C$10)*K35/1000000,0)</f>
        <v>0</v>
      </c>
      <c r="L137" s="334">
        <f>IF(L51&gt;0,'R&amp;C-Painel de Controle'!$O$65*(1-0.0925-$C$10)*L35/1000000,0)</f>
        <v>0</v>
      </c>
      <c r="M137" s="334">
        <f>IF(M51&gt;0,'R&amp;C-Painel de Controle'!$O$65*(1-0.0925-$C$10)*M35/1000000,0)</f>
        <v>0</v>
      </c>
      <c r="N137" s="334">
        <f>IF(N51&gt;0,'R&amp;C-Painel de Controle'!$O$65*(1-0.0925-$C$10)*N35/1000000,0)</f>
        <v>0</v>
      </c>
      <c r="O137" s="334">
        <f>IF(O51&gt;0,'R&amp;C-Painel de Controle'!$O$65*(1-0.0925-$C$10)*O35/1000000,0)</f>
        <v>0</v>
      </c>
      <c r="P137" s="334">
        <f>IF(P51&gt;0,'R&amp;C-Painel de Controle'!$O$65*(1-0.0925-$C$10)*P35/1000000,0)</f>
        <v>0</v>
      </c>
      <c r="Q137" s="334">
        <f>IF(Q51&gt;0,'R&amp;C-Painel de Controle'!$O$65*(1-0.0925-$C$10)*Q35/1000000,0)</f>
        <v>0</v>
      </c>
      <c r="R137" s="334">
        <f>IF(R51&gt;0,'R&amp;C-Painel de Controle'!$O$65*(1-0.0925-$C$10)*R35/1000000,0)</f>
        <v>0</v>
      </c>
      <c r="S137" s="334">
        <f>IF(S51&gt;0,'R&amp;C-Painel de Controle'!$O$65*(1-0.0925-$C$10)*S35/1000000,0)</f>
        <v>0</v>
      </c>
      <c r="T137" s="334">
        <f>IF(T51&gt;0,'R&amp;C-Painel de Controle'!$O$65*(1-0.0925-$C$10)*T35/1000000,0)</f>
        <v>0</v>
      </c>
      <c r="U137" s="334">
        <f>IF(U51&gt;0,'R&amp;C-Painel de Controle'!$O$65*(1-0.0925-$C$10)*U35/1000000,0)</f>
        <v>0</v>
      </c>
      <c r="V137" s="334">
        <f>IF(V51&gt;0,'R&amp;C-Painel de Controle'!$O$65*(1-0.0925-$C$10)*V35/1000000,0)</f>
        <v>0</v>
      </c>
      <c r="W137" s="334">
        <f>IF(W51&gt;0,'R&amp;C-Painel de Controle'!$O$65*(1-0.0925-$C$10)*W35/1000000,0)</f>
        <v>0</v>
      </c>
      <c r="X137" s="334">
        <f>IF(X51&gt;0,'R&amp;C-Painel de Controle'!$O$65*(1-0.0925-$C$10)*X35/1000000,0)</f>
        <v>0</v>
      </c>
      <c r="Y137" s="334">
        <f>IF(Y51&gt;0,'R&amp;C-Painel de Controle'!$O$65*(1-0.0925-$C$10)*Y35/1000000,0)</f>
        <v>0</v>
      </c>
      <c r="Z137" s="334">
        <f>IF(Z51&gt;0,'R&amp;C-Painel de Controle'!$O$65*(1-0.0925-$C$10)*Z35/1000000,0)</f>
        <v>0</v>
      </c>
      <c r="AA137" s="334">
        <f>IF(AA51&gt;0,'R&amp;C-Painel de Controle'!$O$65*(1-0.0925-$C$10)*AA35/1000000,0)</f>
        <v>0</v>
      </c>
      <c r="AB137" s="334">
        <f>IF(AB51&gt;0,'R&amp;C-Painel de Controle'!$O$65*(1-0.0925-$C$10)*AB35/1000000,0)</f>
        <v>0</v>
      </c>
      <c r="AC137" s="334">
        <f>IF(AC51&gt;0,'R&amp;C-Painel de Controle'!$O$65*(1-0.0925-$C$10)*AC35/1000000,0)</f>
        <v>0</v>
      </c>
      <c r="AD137" s="334">
        <f>IF(AD51&gt;0,'R&amp;C-Painel de Controle'!$O$65*(1-0.0925-$C$10)*AD35/1000000,0)</f>
        <v>0</v>
      </c>
      <c r="AE137" s="334">
        <f>IF(AE51&gt;0,'R&amp;C-Painel de Controle'!$O$65*(1-0.0925-$C$10)*AE35/1000000,0)</f>
        <v>0</v>
      </c>
      <c r="AF137" s="334">
        <f>IF(AF51&gt;0,'R&amp;C-Painel de Controle'!$O$65*(1-0.0925-$C$10)*AF35/1000000,0)</f>
        <v>0</v>
      </c>
      <c r="AG137" s="334">
        <f>IF(AG51&gt;0,'R&amp;C-Painel de Controle'!$O$65*(1-0.0925-$C$10)*AG35/1000000,0)</f>
        <v>0</v>
      </c>
      <c r="AH137" s="334">
        <f>IF(AH51&gt;0,'R&amp;C-Painel de Controle'!$O$65*(1-0.0925-$C$10)*AH35/1000000,0)</f>
        <v>0</v>
      </c>
      <c r="AI137" s="334">
        <f>IF(AI51&gt;0,'R&amp;C-Painel de Controle'!$O$65*(1-0.0925-$C$10)*AI35/1000000,0)</f>
        <v>0</v>
      </c>
      <c r="AJ137" s="334">
        <f>IF(AJ51&gt;0,'R&amp;C-Painel de Controle'!$O$65*(1-0.0925-$C$10)*AJ35/1000000,0)</f>
        <v>0</v>
      </c>
      <c r="AK137" s="334">
        <f>IF(AK51&gt;0,'R&amp;C-Painel de Controle'!$O$65*(1-0.0925-$C$10)*AK35/1000000,0)</f>
        <v>0</v>
      </c>
      <c r="AL137" s="334">
        <f>IF(AL51&gt;0,'R&amp;C-Painel de Controle'!$O$65*(1-0.0925-$C$10)*AL35/1000000,0)</f>
        <v>0</v>
      </c>
      <c r="AM137" s="334">
        <f>IF(AM51&gt;0,'R&amp;C-Painel de Controle'!$O$65*(1-0.0925-$C$10)*AM35/1000000,0)</f>
        <v>0</v>
      </c>
      <c r="AN137" s="334">
        <f>IF(AN51&gt;0,'R&amp;C-Painel de Controle'!$O$65*(1-0.0925-$C$10)*AN35/1000000,0)</f>
        <v>0</v>
      </c>
      <c r="AO137" s="334">
        <f>IF(AO51&gt;0,'R&amp;C-Painel de Controle'!$O$65*(1-0.0925-$C$10)*AO35/1000000,0)</f>
        <v>0</v>
      </c>
      <c r="AP137" s="334">
        <f>IF(AP51&gt;0,'R&amp;C-Painel de Controle'!$O$65*(1-0.0925-$C$10)*AP35/1000000,0)</f>
        <v>0</v>
      </c>
      <c r="AQ137" s="334">
        <f>IF(AQ51&gt;0,'R&amp;C-Painel de Controle'!$O$65*(1-0.0925-$C$10)*AQ35/1000000,0)</f>
        <v>0</v>
      </c>
      <c r="AR137" s="334">
        <f>IF(AR51&gt;0,'R&amp;C-Painel de Controle'!$O$65*(1-0.0925-$C$10)*AR35/1000000,0)</f>
        <v>0</v>
      </c>
      <c r="AS137" s="334">
        <f>IF(AS51&gt;0,'R&amp;C-Painel de Controle'!$O$65*(1-0.0925-$C$10)*AS35/1000000,0)</f>
        <v>0</v>
      </c>
      <c r="AT137" s="334">
        <f>IF(AT51&gt;0,'R&amp;C-Painel de Controle'!$O$65*(1-0.0925-$C$10)*AT35/1000000,0)</f>
        <v>0</v>
      </c>
      <c r="AU137" s="334">
        <f>IF(AU51&gt;0,'R&amp;C-Painel de Controle'!$O$65*(1-0.0925-$C$10)*AU35/1000000,0)</f>
        <v>0</v>
      </c>
      <c r="AV137" s="334">
        <f>IF(AV51&gt;0,'R&amp;C-Painel de Controle'!$O$65*(1-0.0925-$C$10)*AV35/1000000,0)</f>
        <v>0</v>
      </c>
      <c r="AW137" s="334">
        <f>IF(AW51&gt;0,'R&amp;C-Painel de Controle'!$O$65*(1-0.0925-$C$10)*AW35/1000000,0)</f>
        <v>0</v>
      </c>
      <c r="AX137" s="334">
        <f>IF(AX51&gt;0,'R&amp;C-Painel de Controle'!$O$65*(1-0.0925-$C$10)*AX35/1000000,0)</f>
        <v>0</v>
      </c>
      <c r="AY137" s="334">
        <f>IF(AY51&gt;0,'R&amp;C-Painel de Controle'!$O$65*(1-0.0925-$C$10)*AY35/1000000,0)</f>
        <v>0</v>
      </c>
      <c r="AZ137" s="334">
        <f>IF(AZ51&gt;0,'R&amp;C-Painel de Controle'!$O$65*(1-0.0925-$C$10)*AZ35/1000000,0)</f>
        <v>0</v>
      </c>
      <c r="BA137" s="334">
        <f>IF(BA51&gt;0,'R&amp;C-Painel de Controle'!$O$65*(1-0.0925-$C$10)*BA35/1000000,0)</f>
        <v>0</v>
      </c>
      <c r="BB137" s="334">
        <f>IF(BB51&gt;0,'R&amp;C-Painel de Controle'!$O$65*(1-0.0925-$C$10)*BB35/1000000,0)</f>
        <v>0</v>
      </c>
      <c r="BC137" s="334">
        <f>IF(BC51&gt;0,'R&amp;C-Painel de Controle'!$O$65*(1-0.0925-$C$10)*BC35/1000000,0)</f>
        <v>0</v>
      </c>
      <c r="BD137" s="305"/>
      <c r="BE137" s="305"/>
      <c r="BF137" s="305"/>
    </row>
    <row r="138" spans="2:58" s="206" customFormat="1" ht="18" hidden="1" customHeight="1" outlineLevel="1" x14ac:dyDescent="0.25">
      <c r="B138" s="906" t="str">
        <f>B107</f>
        <v>Compostagem</v>
      </c>
      <c r="C138" s="325" t="str">
        <f>C107</f>
        <v>Sim</v>
      </c>
      <c r="D138" s="325">
        <f>D107</f>
        <v>63991.846794871803</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25">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25">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25">
      <c r="B141" s="906" t="str">
        <f>B110</f>
        <v>Incineração</v>
      </c>
      <c r="C141" s="325" t="str">
        <f>C110</f>
        <v>Não</v>
      </c>
      <c r="D141" s="325">
        <f>D110</f>
        <v>0</v>
      </c>
      <c r="BC141" s="916"/>
      <c r="BD141" s="299"/>
      <c r="BE141" s="299"/>
      <c r="BF141" s="299"/>
    </row>
    <row r="142" spans="2:58" s="206" customFormat="1" ht="18" hidden="1" customHeight="1" outlineLevel="1" x14ac:dyDescent="0.25">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25">
      <c r="B143" s="285" t="s">
        <v>411</v>
      </c>
      <c r="C143" s="333">
        <v>0</v>
      </c>
      <c r="D143" s="334">
        <f>IF(D57&gt;0,'R&amp;C-Painel de Controle'!$O$71*(1-0.0925)*D35/1000000,0)</f>
        <v>0</v>
      </c>
      <c r="E143" s="334">
        <f>IF(E57&gt;0,'R&amp;C-Painel de Controle'!$O$71*(1-0.0925)*E35/1000000,0)</f>
        <v>0</v>
      </c>
      <c r="F143" s="334">
        <f>IF(F57&gt;0,'R&amp;C-Painel de Controle'!$O$71*(1-0.0925)*F35/1000000,0)</f>
        <v>0</v>
      </c>
      <c r="G143" s="334">
        <f>IF(G57&gt;0,'R&amp;C-Painel de Controle'!$O$71*(1-0.0925)*G35/1000000,0)</f>
        <v>0</v>
      </c>
      <c r="H143" s="334">
        <f>IF(H57&gt;0,'R&amp;C-Painel de Controle'!$O$71*(1-0.0925)*H35/1000000,0)</f>
        <v>0</v>
      </c>
      <c r="I143" s="334">
        <f>IF(I57&gt;0,'R&amp;C-Painel de Controle'!$O$71*(1-0.0925)*I35/1000000,0)</f>
        <v>0</v>
      </c>
      <c r="J143" s="334">
        <f>IF(J57&gt;0,'R&amp;C-Painel de Controle'!$O$71*(1-0.0925)*J35/1000000,0)</f>
        <v>0</v>
      </c>
      <c r="K143" s="334">
        <f>IF(K57&gt;0,'R&amp;C-Painel de Controle'!$O$71*(1-0.0925)*K35/1000000,0)</f>
        <v>0</v>
      </c>
      <c r="L143" s="334">
        <f>IF(L57&gt;0,'R&amp;C-Painel de Controle'!$O$71*(1-0.0925)*L35/1000000,0)</f>
        <v>0</v>
      </c>
      <c r="M143" s="334">
        <f>IF(M57&gt;0,'R&amp;C-Painel de Controle'!$O$71*(1-0.0925)*M35/1000000,0)</f>
        <v>0</v>
      </c>
      <c r="N143" s="334">
        <f>IF(N57&gt;0,'R&amp;C-Painel de Controle'!$O$71*(1-0.0925)*N35/1000000,0)</f>
        <v>0</v>
      </c>
      <c r="O143" s="334">
        <f>IF(O57&gt;0,'R&amp;C-Painel de Controle'!$O$71*(1-0.0925)*O35/1000000,0)</f>
        <v>0</v>
      </c>
      <c r="P143" s="334">
        <f>IF(P57&gt;0,'R&amp;C-Painel de Controle'!$O$71*(1-0.0925)*P35/1000000,0)</f>
        <v>0</v>
      </c>
      <c r="Q143" s="334">
        <f>IF(Q57&gt;0,'R&amp;C-Painel de Controle'!$O$71*(1-0.0925)*Q35/1000000,0)</f>
        <v>0</v>
      </c>
      <c r="R143" s="334">
        <f>IF(R57&gt;0,'R&amp;C-Painel de Controle'!$O$71*(1-0.0925)*R35/1000000,0)</f>
        <v>0</v>
      </c>
      <c r="S143" s="334">
        <f>IF(S57&gt;0,'R&amp;C-Painel de Controle'!$O$71*(1-0.0925)*S35/1000000,0)</f>
        <v>0</v>
      </c>
      <c r="T143" s="334">
        <f>IF(T57&gt;0,'R&amp;C-Painel de Controle'!$O$71*(1-0.0925)*T35/1000000,0)</f>
        <v>0</v>
      </c>
      <c r="U143" s="334">
        <f>IF(U57&gt;0,'R&amp;C-Painel de Controle'!$O$71*(1-0.0925)*U35/1000000,0)</f>
        <v>0</v>
      </c>
      <c r="V143" s="334">
        <f>IF(V57&gt;0,'R&amp;C-Painel de Controle'!$O$71*(1-0.0925)*V35/1000000,0)</f>
        <v>0</v>
      </c>
      <c r="W143" s="334">
        <f>IF(W57&gt;0,'R&amp;C-Painel de Controle'!$O$71*(1-0.0925)*W35/1000000,0)</f>
        <v>0</v>
      </c>
      <c r="X143" s="334">
        <f>IF(X57&gt;0,'R&amp;C-Painel de Controle'!$O$71*(1-0.0925)*X35/1000000,0)</f>
        <v>0</v>
      </c>
      <c r="Y143" s="334">
        <f>IF(Y57&gt;0,'R&amp;C-Painel de Controle'!$O$71*(1-0.0925)*Y35/1000000,0)</f>
        <v>0</v>
      </c>
      <c r="Z143" s="334">
        <f>IF(Z57&gt;0,'R&amp;C-Painel de Controle'!$O$71*(1-0.0925)*Z35/1000000,0)</f>
        <v>0</v>
      </c>
      <c r="AA143" s="334">
        <f>IF(AA57&gt;0,'R&amp;C-Painel de Controle'!$O$71*(1-0.0925)*AA35/1000000,0)</f>
        <v>0</v>
      </c>
      <c r="AB143" s="334">
        <f>IF(AB57&gt;0,'R&amp;C-Painel de Controle'!$O$71*(1-0.0925)*AB35/1000000,0)</f>
        <v>0</v>
      </c>
      <c r="AC143" s="334">
        <f>IF(AC57&gt;0,'R&amp;C-Painel de Controle'!$O$71*(1-0.0925)*AC35/1000000,0)</f>
        <v>0</v>
      </c>
      <c r="AD143" s="334">
        <f>IF(AD57&gt;0,'R&amp;C-Painel de Controle'!$O$71*(1-0.0925)*AD35/1000000,0)</f>
        <v>0</v>
      </c>
      <c r="AE143" s="334">
        <f>IF(AE57&gt;0,'R&amp;C-Painel de Controle'!$O$71*(1-0.0925)*AE35/1000000,0)</f>
        <v>0</v>
      </c>
      <c r="AF143" s="334">
        <f>IF(AF57&gt;0,'R&amp;C-Painel de Controle'!$O$71*(1-0.0925)*AF35/1000000,0)</f>
        <v>0</v>
      </c>
      <c r="AG143" s="334">
        <f>IF(AG57&gt;0,'R&amp;C-Painel de Controle'!$O$71*(1-0.0925)*AG35/1000000,0)</f>
        <v>0</v>
      </c>
      <c r="AH143" s="334">
        <f>IF(AH57&gt;0,'R&amp;C-Painel de Controle'!$O$71*(1-0.0925)*AH35/1000000,0)</f>
        <v>0</v>
      </c>
      <c r="AI143" s="334">
        <f>IF(AI57&gt;0,'R&amp;C-Painel de Controle'!$O$71*(1-0.0925)*AI35/1000000,0)</f>
        <v>0</v>
      </c>
      <c r="AJ143" s="334">
        <f>IF(AJ57&gt;0,'R&amp;C-Painel de Controle'!$O$71*(1-0.0925)*AJ35/1000000,0)</f>
        <v>0</v>
      </c>
      <c r="AK143" s="334">
        <f>IF(AK57&gt;0,'R&amp;C-Painel de Controle'!$O$71*(1-0.0925)*AK35/1000000,0)</f>
        <v>0</v>
      </c>
      <c r="AL143" s="334">
        <f>IF(AL57&gt;0,'R&amp;C-Painel de Controle'!$O$71*(1-0.0925)*AL35/1000000,0)</f>
        <v>0</v>
      </c>
      <c r="AM143" s="334">
        <f>IF(AM57&gt;0,'R&amp;C-Painel de Controle'!$O$71*(1-0.0925)*AM35/1000000,0)</f>
        <v>0</v>
      </c>
      <c r="AN143" s="334">
        <f>IF(AN57&gt;0,'R&amp;C-Painel de Controle'!$O$71*(1-0.0925)*AN35/1000000,0)</f>
        <v>0</v>
      </c>
      <c r="AO143" s="334">
        <f>IF(AO57&gt;0,'R&amp;C-Painel de Controle'!$O$71*(1-0.0925)*AO35/1000000,0)</f>
        <v>0</v>
      </c>
      <c r="AP143" s="334">
        <f>IF(AP57&gt;0,'R&amp;C-Painel de Controle'!$O$71*(1-0.0925)*AP35/1000000,0)</f>
        <v>0</v>
      </c>
      <c r="AQ143" s="334">
        <f>IF(AQ57&gt;0,'R&amp;C-Painel de Controle'!$O$71*(1-0.0925)*AQ35/1000000,0)</f>
        <v>0</v>
      </c>
      <c r="AR143" s="334">
        <f>IF(AR57&gt;0,'R&amp;C-Painel de Controle'!$O$71*(1-0.0925)*AR35/1000000,0)</f>
        <v>0</v>
      </c>
      <c r="AS143" s="334">
        <f>IF(AS57&gt;0,'R&amp;C-Painel de Controle'!$O$71*(1-0.0925)*AS35/1000000,0)</f>
        <v>0</v>
      </c>
      <c r="AT143" s="334">
        <f>IF(AT57&gt;0,'R&amp;C-Painel de Controle'!$O$71*(1-0.0925)*AT35/1000000,0)</f>
        <v>0</v>
      </c>
      <c r="AU143" s="334">
        <f>IF(AU57&gt;0,'R&amp;C-Painel de Controle'!$O$71*(1-0.0925)*AU35/1000000,0)</f>
        <v>0</v>
      </c>
      <c r="AV143" s="334">
        <f>IF(AV57&gt;0,'R&amp;C-Painel de Controle'!$O$71*(1-0.0925)*AV35/1000000,0)</f>
        <v>0</v>
      </c>
      <c r="AW143" s="334">
        <f>IF(AW57&gt;0,'R&amp;C-Painel de Controle'!$O$71*(1-0.0925)*AW35/1000000,0)</f>
        <v>0</v>
      </c>
      <c r="AX143" s="334">
        <f>IF(AX57&gt;0,'R&amp;C-Painel de Controle'!$O$71*(1-0.0925)*AX35/1000000,0)</f>
        <v>0</v>
      </c>
      <c r="AY143" s="334">
        <f>IF(AY57&gt;0,'R&amp;C-Painel de Controle'!$O$71*(1-0.0925)*AY35/1000000,0)</f>
        <v>0</v>
      </c>
      <c r="AZ143" s="334">
        <f>IF(AZ57&gt;0,'R&amp;C-Painel de Controle'!$O$71*(1-0.0925)*AZ35/1000000,0)</f>
        <v>0</v>
      </c>
      <c r="BA143" s="334">
        <f>IF(BA57&gt;0,'R&amp;C-Painel de Controle'!$O$71*(1-0.0925)*BA35/1000000,0)</f>
        <v>0</v>
      </c>
      <c r="BB143" s="334">
        <f>IF(BB57&gt;0,'R&amp;C-Painel de Controle'!$O$71*(1-0.0925)*BB35/1000000,0)</f>
        <v>0</v>
      </c>
      <c r="BC143" s="334">
        <f>IF(BC57&gt;0,'R&amp;C-Painel de Controle'!$O$71*(1-0.0925)*BC35/1000000,0)</f>
        <v>0</v>
      </c>
      <c r="BD143" s="305"/>
      <c r="BE143" s="305"/>
      <c r="BF143" s="305"/>
    </row>
    <row r="144" spans="2:58" s="206" customFormat="1" ht="18" hidden="1" customHeight="1" outlineLevel="1" x14ac:dyDescent="0.25">
      <c r="B144" s="906" t="str">
        <f>B113</f>
        <v>Aterro Sanitário</v>
      </c>
      <c r="C144" s="325" t="str">
        <f>C113</f>
        <v>Sim</v>
      </c>
      <c r="D144" s="325">
        <f>D113</f>
        <v>77890.802403846174</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25">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25">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25">
      <c r="B147" s="303"/>
      <c r="C147" s="306"/>
      <c r="D147" s="306"/>
      <c r="E147" s="306"/>
      <c r="F147" s="306"/>
      <c r="G147" s="306"/>
      <c r="H147" s="306"/>
      <c r="I147" s="306"/>
      <c r="J147" s="306"/>
      <c r="K147" s="306"/>
      <c r="L147" s="306"/>
      <c r="M147" s="306"/>
      <c r="N147" s="306"/>
      <c r="O147" s="306"/>
      <c r="P147" s="306"/>
      <c r="Q147" s="306"/>
      <c r="R147" s="299"/>
    </row>
    <row r="148" spans="2:58" s="206" customFormat="1" ht="25.15" customHeight="1" x14ac:dyDescent="0.25">
      <c r="B148" s="915" t="s">
        <v>412</v>
      </c>
      <c r="C148" s="306">
        <f t="shared" ref="C148:AH148" si="51">C35*$H$26*(1-0.0925-$C$10)/1000000+C149</f>
        <v>31.284805806743897</v>
      </c>
      <c r="D148" s="306">
        <f t="shared" si="51"/>
        <v>31.43184439403559</v>
      </c>
      <c r="E148" s="306">
        <f t="shared" si="51"/>
        <v>31.579574062687552</v>
      </c>
      <c r="F148" s="306">
        <f t="shared" si="51"/>
        <v>31.727998060782181</v>
      </c>
      <c r="G148" s="306">
        <f t="shared" si="51"/>
        <v>31.877119651667861</v>
      </c>
      <c r="H148" s="306">
        <f t="shared" si="51"/>
        <v>32.026942114030696</v>
      </c>
      <c r="I148" s="306">
        <f t="shared" si="51"/>
        <v>32.177468741966635</v>
      </c>
      <c r="J148" s="306">
        <f t="shared" si="51"/>
        <v>32.328702845053876</v>
      </c>
      <c r="K148" s="306">
        <f t="shared" si="51"/>
        <v>32.480647748425632</v>
      </c>
      <c r="L148" s="306">
        <f t="shared" si="51"/>
        <v>32.633306792843229</v>
      </c>
      <c r="M148" s="306">
        <f t="shared" si="51"/>
        <v>32.786683334769592</v>
      </c>
      <c r="N148" s="306">
        <f t="shared" si="51"/>
        <v>32.940780746443011</v>
      </c>
      <c r="O148" s="306">
        <f t="shared" si="51"/>
        <v>33.095602415951284</v>
      </c>
      <c r="P148" s="306">
        <f t="shared" si="51"/>
        <v>33.251151747306253</v>
      </c>
      <c r="Q148" s="306">
        <f t="shared" si="51"/>
        <v>33.407432160518589</v>
      </c>
      <c r="R148" s="306">
        <f t="shared" si="51"/>
        <v>33.564447091673031</v>
      </c>
      <c r="S148" s="306">
        <f t="shared" si="51"/>
        <v>33.72219999300389</v>
      </c>
      <c r="T148" s="306">
        <f t="shared" si="51"/>
        <v>33.880694332971004</v>
      </c>
      <c r="U148" s="306">
        <f t="shared" si="51"/>
        <v>34.039933596335963</v>
      </c>
      <c r="V148" s="306">
        <f t="shared" si="51"/>
        <v>34.199921284238734</v>
      </c>
      <c r="W148" s="306">
        <f t="shared" si="51"/>
        <v>34.360660914274654</v>
      </c>
      <c r="X148" s="306">
        <f t="shared" si="51"/>
        <v>34.522156020571742</v>
      </c>
      <c r="Y148" s="306">
        <f t="shared" si="51"/>
        <v>34.68441015386842</v>
      </c>
      <c r="Z148" s="306">
        <f t="shared" si="51"/>
        <v>34.847426881591609</v>
      </c>
      <c r="AA148" s="306">
        <f t="shared" si="51"/>
        <v>35.011209787935073</v>
      </c>
      <c r="AB148" s="306">
        <f t="shared" si="51"/>
        <v>35.17576247393837</v>
      </c>
      <c r="AC148" s="306">
        <f t="shared" si="51"/>
        <v>35.341088557565882</v>
      </c>
      <c r="AD148" s="306">
        <f t="shared" si="51"/>
        <v>35.50719167378643</v>
      </c>
      <c r="AE148" s="306">
        <f t="shared" si="51"/>
        <v>35.674075474653229</v>
      </c>
      <c r="AF148" s="306">
        <f t="shared" si="51"/>
        <v>35.841743629384098</v>
      </c>
      <c r="AG148" s="306">
        <f t="shared" si="51"/>
        <v>36.010199824442203</v>
      </c>
      <c r="AH148" s="306">
        <f t="shared" si="51"/>
        <v>36.179447763617084</v>
      </c>
      <c r="AI148" s="306">
        <f t="shared" ref="AI148:BC148" si="52">AI35*$H$26*(1-0.0925-$C$10)/1000000+AI149</f>
        <v>36.34949116810607</v>
      </c>
      <c r="AJ148" s="306">
        <f t="shared" si="52"/>
        <v>36.520333776596168</v>
      </c>
      <c r="AK148" s="306">
        <f t="shared" si="52"/>
        <v>36.691979345346176</v>
      </c>
      <c r="AL148" s="306">
        <f t="shared" si="52"/>
        <v>36.864431648269289</v>
      </c>
      <c r="AM148" s="306">
        <f t="shared" si="52"/>
        <v>37.037694477016153</v>
      </c>
      <c r="AN148" s="306">
        <f t="shared" si="52"/>
        <v>37.211771641058135</v>
      </c>
      <c r="AO148" s="306">
        <f t="shared" si="52"/>
        <v>37.386666967771106</v>
      </c>
      <c r="AP148" s="306">
        <f t="shared" si="52"/>
        <v>37.562384302519625</v>
      </c>
      <c r="AQ148" s="306">
        <f t="shared" si="52"/>
        <v>37.738927508741455</v>
      </c>
      <c r="AR148" s="306">
        <f t="shared" si="52"/>
        <v>37.916300468032546</v>
      </c>
      <c r="AS148" s="306">
        <f t="shared" si="52"/>
        <v>38.094507080232297</v>
      </c>
      <c r="AT148" s="306">
        <f t="shared" si="52"/>
        <v>38.27355126350939</v>
      </c>
      <c r="AU148" s="306">
        <f t="shared" si="52"/>
        <v>38.453436954447881</v>
      </c>
      <c r="AV148" s="306">
        <f t="shared" si="52"/>
        <v>38.634168108133778</v>
      </c>
      <c r="AW148" s="306">
        <f t="shared" si="52"/>
        <v>38.815748698242011</v>
      </c>
      <c r="AX148" s="306">
        <f t="shared" si="52"/>
        <v>38.998182717123747</v>
      </c>
      <c r="AY148" s="306">
        <f t="shared" si="52"/>
        <v>39.181474175894216</v>
      </c>
      <c r="AZ148" s="306">
        <f t="shared" si="52"/>
        <v>39.365627104520925</v>
      </c>
      <c r="BA148" s="306">
        <f t="shared" si="52"/>
        <v>39.550645551912176</v>
      </c>
      <c r="BB148" s="306">
        <f t="shared" si="52"/>
        <v>39.736533586006168</v>
      </c>
      <c r="BC148" s="306">
        <f t="shared" si="52"/>
        <v>39.923295293860384</v>
      </c>
    </row>
    <row r="149" spans="2:58" s="206" customFormat="1" ht="16.899999999999999" customHeight="1" x14ac:dyDescent="0.25">
      <c r="B149" s="206" t="s">
        <v>991</v>
      </c>
      <c r="C149" s="306">
        <f>'R&amp;C-Painel de Controle'!D31*312*'R&amp;C-Painel de Controle'!H31*(1-0.0925-$C$10)/1000000</f>
        <v>1.5453658322747372</v>
      </c>
      <c r="D149" s="306">
        <f>C149*(1+'R&amp;C-Painel de Controle'!$D$27)</f>
        <v>1.5526290516864283</v>
      </c>
      <c r="E149" s="306">
        <f>D149*(1+'R&amp;C-Painel de Controle'!$D$27)</f>
        <v>1.5599264082293545</v>
      </c>
      <c r="F149" s="306">
        <f>E149*(1+'R&amp;C-Painel de Controle'!$D$27)</f>
        <v>1.5672580623480323</v>
      </c>
      <c r="G149" s="306">
        <f>F149*(1+'R&amp;C-Painel de Controle'!$D$27)</f>
        <v>1.5746241752410679</v>
      </c>
      <c r="H149" s="306">
        <f>G149*(1+'R&amp;C-Painel de Controle'!$D$27)</f>
        <v>1.5820249088647007</v>
      </c>
      <c r="I149" s="306">
        <f>H149*(1+'R&amp;C-Painel de Controle'!$D$27)</f>
        <v>1.5894604259363647</v>
      </c>
      <c r="J149" s="306">
        <f>I149*(1+'R&amp;C-Painel de Controle'!$D$27)</f>
        <v>1.5969308899382655</v>
      </c>
      <c r="K149" s="306">
        <f>J149*(1+'R&amp;C-Painel de Controle'!$D$27)</f>
        <v>1.6044364651209753</v>
      </c>
      <c r="L149" s="306">
        <f>K149*(1+'R&amp;C-Painel de Controle'!$D$27)</f>
        <v>1.6119773165070437</v>
      </c>
      <c r="M149" s="306">
        <f>L149*(1+'R&amp;C-Painel de Controle'!$D$27)</f>
        <v>1.6195536098946266</v>
      </c>
      <c r="N149" s="306">
        <f>M149*(1+'R&amp;C-Painel de Controle'!$D$27)</f>
        <v>1.6271655118611312</v>
      </c>
      <c r="O149" s="306">
        <f>N149*(1+'R&amp;C-Painel de Controle'!$D$27)</f>
        <v>1.6348131897668785</v>
      </c>
      <c r="P149" s="306">
        <f>O149*(1+'R&amp;C-Painel de Controle'!$D$27)</f>
        <v>1.6424968117587828</v>
      </c>
      <c r="Q149" s="306">
        <f>P149*(1+'R&amp;C-Painel de Controle'!$D$27)</f>
        <v>1.6502165467740491</v>
      </c>
      <c r="R149" s="306">
        <f>Q149*(1+'R&amp;C-Painel de Controle'!$D$27)</f>
        <v>1.657972564543887</v>
      </c>
      <c r="S149" s="306">
        <f>R149*(1+'R&amp;C-Painel de Controle'!$D$27)</f>
        <v>1.6657650355972431</v>
      </c>
      <c r="T149" s="306">
        <f>S149*(1+'R&amp;C-Painel de Controle'!$D$27)</f>
        <v>1.6735941312645499</v>
      </c>
      <c r="U149" s="306">
        <f>T149*(1+'R&amp;C-Painel de Controle'!$D$27)</f>
        <v>1.6814600236814932</v>
      </c>
      <c r="V149" s="306">
        <f>U149*(1+'R&amp;C-Painel de Controle'!$D$27)</f>
        <v>1.689362885792796</v>
      </c>
      <c r="W149" s="306">
        <f>V149*(1+'R&amp;C-Painel de Controle'!$D$27)</f>
        <v>1.697302891356022</v>
      </c>
      <c r="X149" s="306">
        <f>W149*(1+'R&amp;C-Painel de Controle'!$D$27)</f>
        <v>1.7052802149453952</v>
      </c>
      <c r="Y149" s="306">
        <f>X149*(1+'R&amp;C-Painel de Controle'!$D$27)</f>
        <v>1.7132950319556384</v>
      </c>
      <c r="Z149" s="306">
        <f>Y149*(1+'R&amp;C-Painel de Controle'!$D$27)</f>
        <v>1.7213475186058298</v>
      </c>
      <c r="AA149" s="306">
        <f>Z149*(1+'R&amp;C-Painel de Controle'!$D$27)</f>
        <v>1.7294378519432771</v>
      </c>
      <c r="AB149" s="306">
        <f>AA149*(1+'R&amp;C-Painel de Controle'!$D$27)</f>
        <v>1.7375662098474105</v>
      </c>
      <c r="AC149" s="306">
        <f>AB149*(1+'R&amp;C-Painel de Controle'!$D$27)</f>
        <v>1.7457327710336932</v>
      </c>
      <c r="AD149" s="306">
        <f>AC149*(1+'R&amp;C-Painel de Controle'!$D$27)</f>
        <v>1.7539377150575515</v>
      </c>
      <c r="AE149" s="306">
        <f>AD149*(1+'R&amp;C-Painel de Controle'!$D$27)</f>
        <v>1.7621812223183217</v>
      </c>
      <c r="AF149" s="306">
        <f>AE149*(1+'R&amp;C-Painel de Controle'!$D$27)</f>
        <v>1.7704634740632177</v>
      </c>
      <c r="AG149" s="306">
        <f>AF149*(1+'R&amp;C-Painel de Controle'!$D$27)</f>
        <v>1.7787846523913147</v>
      </c>
      <c r="AH149" s="306">
        <f>AG149*(1+'R&amp;C-Painel de Controle'!$D$27)</f>
        <v>1.7871449402575537</v>
      </c>
      <c r="AI149" s="306">
        <f>AH149*(1+'R&amp;C-Painel de Controle'!$D$27)</f>
        <v>1.795544521476764</v>
      </c>
      <c r="AJ149" s="306">
        <f>AI149*(1+'R&amp;C-Painel de Controle'!$D$27)</f>
        <v>1.8039835807277047</v>
      </c>
      <c r="AK149" s="306">
        <f>AJ149*(1+'R&amp;C-Painel de Controle'!$D$27)</f>
        <v>1.8124623035571248</v>
      </c>
      <c r="AL149" s="306">
        <f>AK149*(1+'R&amp;C-Painel de Controle'!$D$27)</f>
        <v>1.8209808763838431</v>
      </c>
      <c r="AM149" s="306">
        <f>AL149*(1+'R&amp;C-Painel de Controle'!$D$27)</f>
        <v>1.8295394865028469</v>
      </c>
      <c r="AN149" s="306">
        <f>AM149*(1+'R&amp;C-Painel de Controle'!$D$27)</f>
        <v>1.8381383220894101</v>
      </c>
      <c r="AO149" s="306">
        <f>AN149*(1+'R&amp;C-Painel de Controle'!$D$27)</f>
        <v>1.8467775722032302</v>
      </c>
      <c r="AP149" s="306">
        <f>AO149*(1+'R&amp;C-Painel de Controle'!$D$27)</f>
        <v>1.8554574267925852</v>
      </c>
      <c r="AQ149" s="306">
        <f>AP149*(1+'R&amp;C-Painel de Controle'!$D$27)</f>
        <v>1.8641780766985101</v>
      </c>
      <c r="AR149" s="306">
        <f>AQ149*(1+'R&amp;C-Painel de Controle'!$D$27)</f>
        <v>1.8729397136589929</v>
      </c>
      <c r="AS149" s="306">
        <f>AR149*(1+'R&amp;C-Painel de Controle'!$D$27)</f>
        <v>1.8817425303131901</v>
      </c>
      <c r="AT149" s="306">
        <f>AS149*(1+'R&amp;C-Painel de Controle'!$D$27)</f>
        <v>1.8905867202056619</v>
      </c>
      <c r="AU149" s="306">
        <f>AT149*(1+'R&amp;C-Painel de Controle'!$D$27)</f>
        <v>1.8994724777906284</v>
      </c>
      <c r="AV149" s="306">
        <f>AU149*(1+'R&amp;C-Painel de Controle'!$D$27)</f>
        <v>1.9083999984362443</v>
      </c>
      <c r="AW149" s="306">
        <f>AV149*(1+'R&amp;C-Painel de Controle'!$D$27)</f>
        <v>1.9173694784288946</v>
      </c>
      <c r="AX149" s="306">
        <f>AW149*(1+'R&amp;C-Painel de Controle'!$D$27)</f>
        <v>1.9263811149775103</v>
      </c>
      <c r="AY149" s="306">
        <f>AX149*(1+'R&amp;C-Painel de Controle'!$D$27)</f>
        <v>1.9354351062179045</v>
      </c>
      <c r="AZ149" s="306">
        <f>AY149*(1+'R&amp;C-Painel de Controle'!$D$27)</f>
        <v>1.9445316512171285</v>
      </c>
      <c r="BA149" s="306">
        <f>AZ149*(1+'R&amp;C-Painel de Controle'!$D$27)</f>
        <v>1.9536709499778488</v>
      </c>
      <c r="BB149" s="306">
        <f>BA149*(1+'R&amp;C-Painel de Controle'!$D$27)</f>
        <v>1.9628532034427446</v>
      </c>
      <c r="BC149" s="306">
        <f>BB149*(1+'R&amp;C-Painel de Controle'!$D$27)</f>
        <v>1.9720786134989254</v>
      </c>
    </row>
    <row r="150" spans="2:58" s="206" customFormat="1" ht="25.15" customHeight="1" x14ac:dyDescent="0.25">
      <c r="B150" s="915" t="s">
        <v>674</v>
      </c>
      <c r="R150" s="299"/>
    </row>
    <row r="151" spans="2:58" s="206" customFormat="1" ht="16.899999999999999" customHeight="1" outlineLevel="1" x14ac:dyDescent="0.25">
      <c r="B151" s="206" t="s">
        <v>675</v>
      </c>
      <c r="C151" s="307">
        <f t="shared" ref="C151:BC151" si="53">C148+C121-C119</f>
        <v>27.338708306743897</v>
      </c>
      <c r="D151" s="307">
        <f t="shared" si="53"/>
        <v>27.485746894035589</v>
      </c>
      <c r="E151" s="307">
        <f t="shared" si="53"/>
        <v>27.633476562687552</v>
      </c>
      <c r="F151" s="307">
        <f t="shared" si="53"/>
        <v>3.396484737949006</v>
      </c>
      <c r="G151" s="307">
        <f t="shared" si="53"/>
        <v>3.5456063288346868</v>
      </c>
      <c r="H151" s="307">
        <f t="shared" si="53"/>
        <v>3.6954287911975214</v>
      </c>
      <c r="I151" s="307">
        <f t="shared" si="53"/>
        <v>3.8459554191334604</v>
      </c>
      <c r="J151" s="307">
        <f t="shared" si="53"/>
        <v>3.997189522220701</v>
      </c>
      <c r="K151" s="307">
        <f t="shared" si="53"/>
        <v>4.1491344255924574</v>
      </c>
      <c r="L151" s="307">
        <f t="shared" si="53"/>
        <v>4.301793470010054</v>
      </c>
      <c r="M151" s="307">
        <f t="shared" si="53"/>
        <v>4.455170011936417</v>
      </c>
      <c r="N151" s="307">
        <f t="shared" si="53"/>
        <v>4.6092674236098361</v>
      </c>
      <c r="O151" s="307">
        <f t="shared" si="53"/>
        <v>4.764089093118109</v>
      </c>
      <c r="P151" s="307">
        <f t="shared" si="53"/>
        <v>4.919638424473078</v>
      </c>
      <c r="Q151" s="307">
        <f t="shared" si="53"/>
        <v>5.0759188376854141</v>
      </c>
      <c r="R151" s="307">
        <f t="shared" si="53"/>
        <v>5.2329337688398567</v>
      </c>
      <c r="S151" s="307">
        <f t="shared" si="53"/>
        <v>5.3906866701707159</v>
      </c>
      <c r="T151" s="307">
        <f t="shared" si="53"/>
        <v>5.5491810101378292</v>
      </c>
      <c r="U151" s="307">
        <f t="shared" si="53"/>
        <v>5.7084202735027887</v>
      </c>
      <c r="V151" s="307">
        <f t="shared" si="53"/>
        <v>5.8684079614055591</v>
      </c>
      <c r="W151" s="307">
        <f t="shared" si="53"/>
        <v>6.0291475914414789</v>
      </c>
      <c r="X151" s="307">
        <f t="shared" si="53"/>
        <v>6.1906426977385678</v>
      </c>
      <c r="Y151" s="307">
        <f t="shared" si="53"/>
        <v>6.3528968310352454</v>
      </c>
      <c r="Z151" s="307">
        <f t="shared" si="53"/>
        <v>6.5159135587584345</v>
      </c>
      <c r="AA151" s="307">
        <f t="shared" si="53"/>
        <v>6.6796964651018982</v>
      </c>
      <c r="AB151" s="307">
        <f t="shared" si="53"/>
        <v>6.8442491511051955</v>
      </c>
      <c r="AC151" s="307">
        <f t="shared" si="53"/>
        <v>7.0095752347327078</v>
      </c>
      <c r="AD151" s="307">
        <f t="shared" si="53"/>
        <v>7.1756783509532553</v>
      </c>
      <c r="AE151" s="307">
        <f t="shared" si="53"/>
        <v>7.3425621518200543</v>
      </c>
      <c r="AF151" s="307">
        <f t="shared" si="53"/>
        <v>7.5102303065509233</v>
      </c>
      <c r="AG151" s="307">
        <f t="shared" si="53"/>
        <v>7.6786865016090289</v>
      </c>
      <c r="AH151" s="307">
        <f t="shared" si="53"/>
        <v>7.8479344407839093</v>
      </c>
      <c r="AI151" s="307">
        <f t="shared" si="53"/>
        <v>8.0179778452728954</v>
      </c>
      <c r="AJ151" s="307">
        <f t="shared" si="53"/>
        <v>8.1888204537629932</v>
      </c>
      <c r="AK151" s="307">
        <f t="shared" si="53"/>
        <v>8.3604660225130019</v>
      </c>
      <c r="AL151" s="307">
        <f t="shared" si="53"/>
        <v>8.5329183254361141</v>
      </c>
      <c r="AM151" s="307">
        <f t="shared" si="53"/>
        <v>8.7061811541829783</v>
      </c>
      <c r="AN151" s="307">
        <f t="shared" si="53"/>
        <v>8.8802583182249606</v>
      </c>
      <c r="AO151" s="307">
        <f t="shared" si="53"/>
        <v>9.0551536449379313</v>
      </c>
      <c r="AP151" s="307">
        <f t="shared" si="53"/>
        <v>9.2308709796864505</v>
      </c>
      <c r="AQ151" s="307">
        <f t="shared" si="53"/>
        <v>9.40741418590828</v>
      </c>
      <c r="AR151" s="307">
        <f t="shared" si="53"/>
        <v>9.5847871451993711</v>
      </c>
      <c r="AS151" s="307">
        <f t="shared" si="53"/>
        <v>9.7629937573991228</v>
      </c>
      <c r="AT151" s="307">
        <f t="shared" si="53"/>
        <v>9.9420379406762152</v>
      </c>
      <c r="AU151" s="307">
        <f t="shared" si="53"/>
        <v>10.121923631614706</v>
      </c>
      <c r="AV151" s="307">
        <f t="shared" si="53"/>
        <v>10.302654785300604</v>
      </c>
      <c r="AW151" s="307">
        <f t="shared" si="53"/>
        <v>10.484235375408836</v>
      </c>
      <c r="AX151" s="307">
        <f t="shared" si="53"/>
        <v>10.666669394290572</v>
      </c>
      <c r="AY151" s="307">
        <f t="shared" si="53"/>
        <v>10.849960853061042</v>
      </c>
      <c r="AZ151" s="307">
        <f t="shared" si="53"/>
        <v>11.034113781687751</v>
      </c>
      <c r="BA151" s="307">
        <f t="shared" si="53"/>
        <v>11.219132229079001</v>
      </c>
      <c r="BB151" s="307">
        <f t="shared" si="53"/>
        <v>11.405020263172993</v>
      </c>
      <c r="BC151" s="307">
        <f t="shared" si="53"/>
        <v>11.59178197102721</v>
      </c>
    </row>
    <row r="152" spans="2:58" s="206" customFormat="1" ht="16.899999999999999" customHeight="1" outlineLevel="1" x14ac:dyDescent="0.25">
      <c r="B152" s="206" t="s">
        <v>413</v>
      </c>
      <c r="C152" s="307">
        <f>C63</f>
        <v>57.387502756210623</v>
      </c>
      <c r="D152" s="307">
        <f>IF(SUM($C$152:C152)&lt;'R&amp;C-Painel de Controle'!$H$24,D63,0)</f>
        <v>68.677705059710732</v>
      </c>
      <c r="E152" s="307">
        <f>IF(SUM($C$152:D152)&lt;'R&amp;C-Painel de Controle'!$H$24,E63,0)</f>
        <v>79.317581237723729</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899999999999999" customHeight="1" outlineLevel="1" x14ac:dyDescent="0.25">
      <c r="B153" s="206" t="s">
        <v>414</v>
      </c>
      <c r="C153" s="307">
        <f t="shared" ref="C153:BC153" si="54">C151-C152</f>
        <v>-30.048794449466726</v>
      </c>
      <c r="D153" s="307">
        <f t="shared" si="54"/>
        <v>-41.191958165675146</v>
      </c>
      <c r="E153" s="307">
        <f t="shared" si="54"/>
        <v>-51.684104675036181</v>
      </c>
      <c r="F153" s="307">
        <f t="shared" si="54"/>
        <v>3.396484737949006</v>
      </c>
      <c r="G153" s="307">
        <f t="shared" si="54"/>
        <v>3.5456063288346868</v>
      </c>
      <c r="H153" s="307">
        <f t="shared" si="54"/>
        <v>3.6954287911975214</v>
      </c>
      <c r="I153" s="307">
        <f t="shared" si="54"/>
        <v>3.8459554191334604</v>
      </c>
      <c r="J153" s="307">
        <f t="shared" si="54"/>
        <v>3.997189522220701</v>
      </c>
      <c r="K153" s="307">
        <f t="shared" si="54"/>
        <v>4.1491344255924574</v>
      </c>
      <c r="L153" s="307">
        <f t="shared" si="54"/>
        <v>4.301793470010054</v>
      </c>
      <c r="M153" s="307">
        <f t="shared" si="54"/>
        <v>4.455170011936417</v>
      </c>
      <c r="N153" s="307">
        <f t="shared" si="54"/>
        <v>4.6092674236098361</v>
      </c>
      <c r="O153" s="307">
        <f t="shared" si="54"/>
        <v>4.764089093118109</v>
      </c>
      <c r="P153" s="307">
        <f t="shared" si="54"/>
        <v>4.919638424473078</v>
      </c>
      <c r="Q153" s="307">
        <f t="shared" si="54"/>
        <v>5.0759188376854141</v>
      </c>
      <c r="R153" s="307">
        <f t="shared" si="54"/>
        <v>5.2329337688398567</v>
      </c>
      <c r="S153" s="307">
        <f t="shared" si="54"/>
        <v>5.3906866701707159</v>
      </c>
      <c r="T153" s="307">
        <f t="shared" si="54"/>
        <v>5.5491810101378292</v>
      </c>
      <c r="U153" s="307">
        <f t="shared" si="54"/>
        <v>5.7084202735027887</v>
      </c>
      <c r="V153" s="307">
        <f t="shared" si="54"/>
        <v>5.8684079614055591</v>
      </c>
      <c r="W153" s="307">
        <f t="shared" si="54"/>
        <v>6.0291475914414789</v>
      </c>
      <c r="X153" s="307">
        <f t="shared" si="54"/>
        <v>6.1906426977385678</v>
      </c>
      <c r="Y153" s="307">
        <f t="shared" si="54"/>
        <v>6.3528968310352454</v>
      </c>
      <c r="Z153" s="307">
        <f t="shared" si="54"/>
        <v>6.5159135587584345</v>
      </c>
      <c r="AA153" s="307">
        <f t="shared" si="54"/>
        <v>6.6796964651018982</v>
      </c>
      <c r="AB153" s="307">
        <f t="shared" si="54"/>
        <v>6.8442491511051955</v>
      </c>
      <c r="AC153" s="307">
        <f t="shared" si="54"/>
        <v>7.0095752347327078</v>
      </c>
      <c r="AD153" s="307">
        <f t="shared" si="54"/>
        <v>7.1756783509532553</v>
      </c>
      <c r="AE153" s="307">
        <f t="shared" si="54"/>
        <v>7.3425621518200543</v>
      </c>
      <c r="AF153" s="307">
        <f t="shared" si="54"/>
        <v>7.5102303065509233</v>
      </c>
      <c r="AG153" s="307">
        <f t="shared" si="54"/>
        <v>7.6786865016090289</v>
      </c>
      <c r="AH153" s="307">
        <f t="shared" si="54"/>
        <v>7.8479344407839093</v>
      </c>
      <c r="AI153" s="307">
        <f t="shared" si="54"/>
        <v>8.0179778452728954</v>
      </c>
      <c r="AJ153" s="307">
        <f t="shared" si="54"/>
        <v>8.1888204537629932</v>
      </c>
      <c r="AK153" s="307">
        <f t="shared" si="54"/>
        <v>8.3604660225130019</v>
      </c>
      <c r="AL153" s="307">
        <f t="shared" si="54"/>
        <v>8.5329183254361141</v>
      </c>
      <c r="AM153" s="307">
        <f t="shared" si="54"/>
        <v>8.7061811541829783</v>
      </c>
      <c r="AN153" s="307">
        <f t="shared" si="54"/>
        <v>8.8802583182249606</v>
      </c>
      <c r="AO153" s="307">
        <f t="shared" si="54"/>
        <v>9.0551536449379313</v>
      </c>
      <c r="AP153" s="307">
        <f t="shared" si="54"/>
        <v>9.2308709796864505</v>
      </c>
      <c r="AQ153" s="307">
        <f t="shared" si="54"/>
        <v>9.40741418590828</v>
      </c>
      <c r="AR153" s="307">
        <f t="shared" si="54"/>
        <v>9.5847871451993711</v>
      </c>
      <c r="AS153" s="307">
        <f t="shared" si="54"/>
        <v>9.7629937573991228</v>
      </c>
      <c r="AT153" s="307">
        <f t="shared" si="54"/>
        <v>9.9420379406762152</v>
      </c>
      <c r="AU153" s="307">
        <f t="shared" si="54"/>
        <v>10.121923631614706</v>
      </c>
      <c r="AV153" s="307">
        <f t="shared" si="54"/>
        <v>10.302654785300604</v>
      </c>
      <c r="AW153" s="307">
        <f t="shared" si="54"/>
        <v>10.484235375408836</v>
      </c>
      <c r="AX153" s="307">
        <f t="shared" si="54"/>
        <v>10.666669394290572</v>
      </c>
      <c r="AY153" s="307">
        <f t="shared" si="54"/>
        <v>10.849960853061042</v>
      </c>
      <c r="AZ153" s="307">
        <f t="shared" si="54"/>
        <v>11.034113781687751</v>
      </c>
      <c r="BA153" s="307">
        <f t="shared" si="54"/>
        <v>11.219132229079001</v>
      </c>
      <c r="BB153" s="307">
        <f t="shared" si="54"/>
        <v>11.405020263172993</v>
      </c>
      <c r="BC153" s="307">
        <f t="shared" si="54"/>
        <v>11.59178197102721</v>
      </c>
    </row>
    <row r="154" spans="2:58" s="206" customFormat="1" ht="16.899999999999999" customHeight="1" outlineLevel="1" x14ac:dyDescent="0.25">
      <c r="B154" s="301" t="s">
        <v>415</v>
      </c>
      <c r="C154" s="307">
        <f>IF((C153&gt;0),C153*(1-($C$26+$C$25)),C153)</f>
        <v>-30.048794449466726</v>
      </c>
      <c r="D154" s="307">
        <f t="shared" ref="D154:BC154" si="55">IF((D153&gt;0),D153*(1-($C$26+$C$25)),D153)</f>
        <v>-41.191958165675146</v>
      </c>
      <c r="E154" s="307">
        <f t="shared" si="55"/>
        <v>-51.684104675036181</v>
      </c>
      <c r="F154" s="307">
        <f t="shared" si="55"/>
        <v>2.2416799270463441</v>
      </c>
      <c r="G154" s="307">
        <f t="shared" si="55"/>
        <v>2.3401001770308936</v>
      </c>
      <c r="H154" s="307">
        <f t="shared" si="55"/>
        <v>2.4389830021903642</v>
      </c>
      <c r="I154" s="307">
        <f t="shared" si="55"/>
        <v>2.5383305766280841</v>
      </c>
      <c r="J154" s="307">
        <f t="shared" si="55"/>
        <v>2.6381450846656627</v>
      </c>
      <c r="K154" s="307">
        <f t="shared" si="55"/>
        <v>2.7384287208910219</v>
      </c>
      <c r="L154" s="307">
        <f t="shared" si="55"/>
        <v>2.8391836902066356</v>
      </c>
      <c r="M154" s="307">
        <f t="shared" si="55"/>
        <v>2.9404122078780355</v>
      </c>
      <c r="N154" s="307">
        <f t="shared" si="55"/>
        <v>3.0421164995824919</v>
      </c>
      <c r="O154" s="307">
        <f t="shared" si="55"/>
        <v>3.144298801457952</v>
      </c>
      <c r="P154" s="307">
        <f t="shared" si="55"/>
        <v>3.2469613601522318</v>
      </c>
      <c r="Q154" s="307">
        <f t="shared" si="55"/>
        <v>3.3501064328723733</v>
      </c>
      <c r="R154" s="307">
        <f t="shared" si="55"/>
        <v>3.4537362874343054</v>
      </c>
      <c r="S154" s="307">
        <f t="shared" si="55"/>
        <v>3.5578532023126725</v>
      </c>
      <c r="T154" s="307">
        <f t="shared" si="55"/>
        <v>3.6624594666909673</v>
      </c>
      <c r="U154" s="307">
        <f t="shared" si="55"/>
        <v>3.7675573805118407</v>
      </c>
      <c r="V154" s="307">
        <f t="shared" si="55"/>
        <v>3.8731492545276693</v>
      </c>
      <c r="W154" s="307">
        <f t="shared" si="55"/>
        <v>3.9792374103513763</v>
      </c>
      <c r="X154" s="307">
        <f t="shared" si="55"/>
        <v>4.0858241805074549</v>
      </c>
      <c r="Y154" s="307">
        <f t="shared" si="55"/>
        <v>4.1929119084832625</v>
      </c>
      <c r="Z154" s="307">
        <f t="shared" si="55"/>
        <v>4.3005029487805668</v>
      </c>
      <c r="AA154" s="307">
        <f t="shared" si="55"/>
        <v>4.4085996669672527</v>
      </c>
      <c r="AB154" s="307">
        <f t="shared" si="55"/>
        <v>4.5172044397294293</v>
      </c>
      <c r="AC154" s="307">
        <f t="shared" si="55"/>
        <v>4.626319654923587</v>
      </c>
      <c r="AD154" s="307">
        <f t="shared" si="55"/>
        <v>4.7359477116291488</v>
      </c>
      <c r="AE154" s="307">
        <f t="shared" si="55"/>
        <v>4.8460910202012357</v>
      </c>
      <c r="AF154" s="307">
        <f t="shared" si="55"/>
        <v>4.9567520023236096</v>
      </c>
      <c r="AG154" s="307">
        <f t="shared" si="55"/>
        <v>5.0679330910619589</v>
      </c>
      <c r="AH154" s="307">
        <f t="shared" si="55"/>
        <v>5.1796367309173803</v>
      </c>
      <c r="AI154" s="307">
        <f t="shared" si="55"/>
        <v>5.2918653778801108</v>
      </c>
      <c r="AJ154" s="307">
        <f t="shared" si="55"/>
        <v>5.404621499483576</v>
      </c>
      <c r="AK154" s="307">
        <f t="shared" si="55"/>
        <v>5.5179075748585813</v>
      </c>
      <c r="AL154" s="307">
        <f t="shared" si="55"/>
        <v>5.6317260947878358</v>
      </c>
      <c r="AM154" s="307">
        <f t="shared" si="55"/>
        <v>5.7460795617607658</v>
      </c>
      <c r="AN154" s="307">
        <f t="shared" si="55"/>
        <v>5.8609704900284747</v>
      </c>
      <c r="AO154" s="307">
        <f t="shared" si="55"/>
        <v>5.9764014056590353</v>
      </c>
      <c r="AP154" s="307">
        <f t="shared" si="55"/>
        <v>6.0923748465930574</v>
      </c>
      <c r="AQ154" s="307">
        <f t="shared" si="55"/>
        <v>6.2088933626994649</v>
      </c>
      <c r="AR154" s="307">
        <f t="shared" si="55"/>
        <v>6.3259595158315856</v>
      </c>
      <c r="AS154" s="307">
        <f t="shared" si="55"/>
        <v>6.4435758798834213</v>
      </c>
      <c r="AT154" s="307">
        <f t="shared" si="55"/>
        <v>6.5617450408463025</v>
      </c>
      <c r="AU154" s="307">
        <f t="shared" si="55"/>
        <v>6.6804695968657066</v>
      </c>
      <c r="AV154" s="307">
        <f t="shared" si="55"/>
        <v>6.7997521582983991</v>
      </c>
      <c r="AW154" s="307">
        <f t="shared" si="55"/>
        <v>6.9195953477698326</v>
      </c>
      <c r="AX154" s="307">
        <f t="shared" si="55"/>
        <v>7.0400018002317779</v>
      </c>
      <c r="AY154" s="307">
        <f t="shared" si="55"/>
        <v>7.1609741630202874</v>
      </c>
      <c r="AZ154" s="307">
        <f t="shared" si="55"/>
        <v>7.282515095913916</v>
      </c>
      <c r="BA154" s="307">
        <f t="shared" si="55"/>
        <v>7.4046272711921413</v>
      </c>
      <c r="BB154" s="307">
        <f t="shared" si="55"/>
        <v>7.5273133736941755</v>
      </c>
      <c r="BC154" s="307">
        <f t="shared" si="55"/>
        <v>7.6505761008779585</v>
      </c>
    </row>
    <row r="155" spans="2:58" s="206" customFormat="1" ht="16.899999999999999" customHeight="1" outlineLevel="1" x14ac:dyDescent="0.25">
      <c r="C155" s="308"/>
      <c r="D155" s="308"/>
      <c r="E155" s="308"/>
      <c r="F155" s="308"/>
      <c r="G155" s="308"/>
      <c r="H155" s="308"/>
      <c r="I155" s="308"/>
      <c r="J155" s="308"/>
      <c r="K155" s="308"/>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899999999999999" customHeight="1" outlineLevel="1" x14ac:dyDescent="0.25">
      <c r="B156" s="206" t="s">
        <v>464</v>
      </c>
      <c r="C156" s="307">
        <f>C154</f>
        <v>-30.048794449466726</v>
      </c>
      <c r="D156" s="307">
        <f t="shared" ref="D156:BC156" si="56">D154</f>
        <v>-41.191958165675146</v>
      </c>
      <c r="E156" s="307">
        <f t="shared" si="56"/>
        <v>-51.684104675036181</v>
      </c>
      <c r="F156" s="307">
        <f t="shared" si="56"/>
        <v>2.2416799270463441</v>
      </c>
      <c r="G156" s="307">
        <f t="shared" si="56"/>
        <v>2.3401001770308936</v>
      </c>
      <c r="H156" s="307">
        <f t="shared" si="56"/>
        <v>2.4389830021903642</v>
      </c>
      <c r="I156" s="307">
        <f t="shared" si="56"/>
        <v>2.5383305766280841</v>
      </c>
      <c r="J156" s="307">
        <f t="shared" si="56"/>
        <v>2.6381450846656627</v>
      </c>
      <c r="K156" s="307">
        <f t="shared" si="56"/>
        <v>2.7384287208910219</v>
      </c>
      <c r="L156" s="307">
        <f t="shared" si="56"/>
        <v>2.8391836902066356</v>
      </c>
      <c r="M156" s="307">
        <f t="shared" si="56"/>
        <v>2.9404122078780355</v>
      </c>
      <c r="N156" s="307">
        <f t="shared" si="56"/>
        <v>3.0421164995824919</v>
      </c>
      <c r="O156" s="307">
        <f t="shared" si="56"/>
        <v>3.144298801457952</v>
      </c>
      <c r="P156" s="307">
        <f t="shared" si="56"/>
        <v>3.2469613601522318</v>
      </c>
      <c r="Q156" s="307">
        <f t="shared" si="56"/>
        <v>3.3501064328723733</v>
      </c>
      <c r="R156" s="307">
        <f t="shared" si="56"/>
        <v>3.4537362874343054</v>
      </c>
      <c r="S156" s="307">
        <f t="shared" si="56"/>
        <v>3.5578532023126725</v>
      </c>
      <c r="T156" s="307">
        <f t="shared" si="56"/>
        <v>3.6624594666909673</v>
      </c>
      <c r="U156" s="307">
        <f t="shared" si="56"/>
        <v>3.7675573805118407</v>
      </c>
      <c r="V156" s="307">
        <f t="shared" si="56"/>
        <v>3.8731492545276693</v>
      </c>
      <c r="W156" s="307">
        <f t="shared" si="56"/>
        <v>3.9792374103513763</v>
      </c>
      <c r="X156" s="307">
        <f t="shared" si="56"/>
        <v>4.0858241805074549</v>
      </c>
      <c r="Y156" s="307">
        <f t="shared" si="56"/>
        <v>4.1929119084832625</v>
      </c>
      <c r="Z156" s="307">
        <f t="shared" si="56"/>
        <v>4.3005029487805668</v>
      </c>
      <c r="AA156" s="307">
        <f t="shared" si="56"/>
        <v>4.4085996669672527</v>
      </c>
      <c r="AB156" s="307">
        <f t="shared" si="56"/>
        <v>4.5172044397294293</v>
      </c>
      <c r="AC156" s="307">
        <f t="shared" si="56"/>
        <v>4.626319654923587</v>
      </c>
      <c r="AD156" s="307">
        <f t="shared" si="56"/>
        <v>4.7359477116291488</v>
      </c>
      <c r="AE156" s="307">
        <f t="shared" si="56"/>
        <v>4.8460910202012357</v>
      </c>
      <c r="AF156" s="307">
        <f t="shared" si="56"/>
        <v>4.9567520023236096</v>
      </c>
      <c r="AG156" s="307">
        <f t="shared" si="56"/>
        <v>5.0679330910619589</v>
      </c>
      <c r="AH156" s="307">
        <f t="shared" si="56"/>
        <v>5.1796367309173803</v>
      </c>
      <c r="AI156" s="307">
        <f t="shared" si="56"/>
        <v>5.2918653778801108</v>
      </c>
      <c r="AJ156" s="307">
        <f t="shared" si="56"/>
        <v>5.404621499483576</v>
      </c>
      <c r="AK156" s="307">
        <f t="shared" si="56"/>
        <v>5.5179075748585813</v>
      </c>
      <c r="AL156" s="307">
        <f t="shared" si="56"/>
        <v>5.6317260947878358</v>
      </c>
      <c r="AM156" s="307">
        <f t="shared" si="56"/>
        <v>5.7460795617607658</v>
      </c>
      <c r="AN156" s="307">
        <f t="shared" si="56"/>
        <v>5.8609704900284747</v>
      </c>
      <c r="AO156" s="307">
        <f t="shared" si="56"/>
        <v>5.9764014056590353</v>
      </c>
      <c r="AP156" s="307">
        <f t="shared" si="56"/>
        <v>6.0923748465930574</v>
      </c>
      <c r="AQ156" s="307">
        <f t="shared" si="56"/>
        <v>6.2088933626994649</v>
      </c>
      <c r="AR156" s="307">
        <f t="shared" si="56"/>
        <v>6.3259595158315856</v>
      </c>
      <c r="AS156" s="307">
        <f t="shared" si="56"/>
        <v>6.4435758798834213</v>
      </c>
      <c r="AT156" s="307">
        <f t="shared" si="56"/>
        <v>6.5617450408463025</v>
      </c>
      <c r="AU156" s="307">
        <f t="shared" si="56"/>
        <v>6.6804695968657066</v>
      </c>
      <c r="AV156" s="307">
        <f t="shared" si="56"/>
        <v>6.7997521582983991</v>
      </c>
      <c r="AW156" s="307">
        <f t="shared" si="56"/>
        <v>6.9195953477698326</v>
      </c>
      <c r="AX156" s="307">
        <f t="shared" si="56"/>
        <v>7.0400018002317779</v>
      </c>
      <c r="AY156" s="307">
        <f t="shared" si="56"/>
        <v>7.1609741630202874</v>
      </c>
      <c r="AZ156" s="307">
        <f t="shared" si="56"/>
        <v>7.282515095913916</v>
      </c>
      <c r="BA156" s="307">
        <f t="shared" si="56"/>
        <v>7.4046272711921413</v>
      </c>
      <c r="BB156" s="307">
        <f t="shared" si="56"/>
        <v>7.5273133736941755</v>
      </c>
      <c r="BC156" s="307">
        <f t="shared" si="56"/>
        <v>7.6505761008779585</v>
      </c>
    </row>
    <row r="157" spans="2:58" s="309" customFormat="1" ht="16.899999999999999" customHeight="1" outlineLevel="1" x14ac:dyDescent="0.25">
      <c r="B157" s="309" t="s">
        <v>465</v>
      </c>
      <c r="C157" s="310">
        <f>C156</f>
        <v>-30.048794449466726</v>
      </c>
      <c r="D157" s="310">
        <f t="shared" ref="D157:BC157" si="57">C157+D156</f>
        <v>-71.240752615141872</v>
      </c>
      <c r="E157" s="310">
        <f t="shared" si="57"/>
        <v>-122.92485729017805</v>
      </c>
      <c r="F157" s="310">
        <f t="shared" si="57"/>
        <v>-120.6831773631317</v>
      </c>
      <c r="G157" s="310">
        <f t="shared" si="57"/>
        <v>-118.34307718610081</v>
      </c>
      <c r="H157" s="310">
        <f t="shared" si="57"/>
        <v>-115.90409418391044</v>
      </c>
      <c r="I157" s="310">
        <f t="shared" si="57"/>
        <v>-113.36576360728236</v>
      </c>
      <c r="J157" s="310">
        <f t="shared" si="57"/>
        <v>-110.72761852261669</v>
      </c>
      <c r="K157" s="310">
        <f t="shared" si="57"/>
        <v>-107.98918980172567</v>
      </c>
      <c r="L157" s="310">
        <f t="shared" si="57"/>
        <v>-105.15000611151903</v>
      </c>
      <c r="M157" s="310">
        <f t="shared" si="57"/>
        <v>-102.20959390364099</v>
      </c>
      <c r="N157" s="310">
        <f t="shared" si="57"/>
        <v>-99.167477404058502</v>
      </c>
      <c r="O157" s="310">
        <f t="shared" si="57"/>
        <v>-96.023178602600552</v>
      </c>
      <c r="P157" s="310">
        <f t="shared" si="57"/>
        <v>-92.776217242448325</v>
      </c>
      <c r="Q157" s="310">
        <f t="shared" si="57"/>
        <v>-89.426110809575945</v>
      </c>
      <c r="R157" s="310">
        <f t="shared" si="57"/>
        <v>-85.972374522141635</v>
      </c>
      <c r="S157" s="310">
        <f t="shared" si="57"/>
        <v>-82.414521319828964</v>
      </c>
      <c r="T157" s="310">
        <f t="shared" si="57"/>
        <v>-78.752061853138002</v>
      </c>
      <c r="U157" s="310">
        <f t="shared" si="57"/>
        <v>-74.984504472626156</v>
      </c>
      <c r="V157" s="310">
        <f t="shared" si="57"/>
        <v>-71.111355218098481</v>
      </c>
      <c r="W157" s="310">
        <f t="shared" si="57"/>
        <v>-67.132117807747107</v>
      </c>
      <c r="X157" s="310">
        <f t="shared" si="57"/>
        <v>-63.046293627239649</v>
      </c>
      <c r="Y157" s="310">
        <f t="shared" si="57"/>
        <v>-58.853381718756388</v>
      </c>
      <c r="Z157" s="310">
        <f t="shared" si="57"/>
        <v>-54.55287876997582</v>
      </c>
      <c r="AA157" s="310">
        <f t="shared" si="57"/>
        <v>-50.144279103008564</v>
      </c>
      <c r="AB157" s="310">
        <f t="shared" si="57"/>
        <v>-45.627074663279132</v>
      </c>
      <c r="AC157" s="310">
        <f t="shared" si="57"/>
        <v>-41.000755008355547</v>
      </c>
      <c r="AD157" s="310">
        <f t="shared" si="57"/>
        <v>-36.264807296726396</v>
      </c>
      <c r="AE157" s="310">
        <f t="shared" si="57"/>
        <v>-31.41871627652516</v>
      </c>
      <c r="AF157" s="310">
        <f t="shared" si="57"/>
        <v>-26.461964274201549</v>
      </c>
      <c r="AG157" s="310">
        <f t="shared" si="57"/>
        <v>-21.394031183139589</v>
      </c>
      <c r="AH157" s="310">
        <f t="shared" si="57"/>
        <v>-16.214394452222209</v>
      </c>
      <c r="AI157" s="310">
        <f t="shared" si="57"/>
        <v>-10.922529074342098</v>
      </c>
      <c r="AJ157" s="310">
        <f t="shared" si="57"/>
        <v>-5.5179075748585218</v>
      </c>
      <c r="AK157" s="310">
        <f t="shared" si="57"/>
        <v>5.9507954119908391E-14</v>
      </c>
      <c r="AL157" s="310">
        <f t="shared" si="57"/>
        <v>5.6317260947878953</v>
      </c>
      <c r="AM157" s="310">
        <f t="shared" si="57"/>
        <v>11.377805656548661</v>
      </c>
      <c r="AN157" s="310">
        <f t="shared" si="57"/>
        <v>17.238776146577138</v>
      </c>
      <c r="AO157" s="310">
        <f t="shared" si="57"/>
        <v>23.215177552236174</v>
      </c>
      <c r="AP157" s="310">
        <f t="shared" si="57"/>
        <v>29.30755239882923</v>
      </c>
      <c r="AQ157" s="310">
        <f t="shared" si="57"/>
        <v>35.516445761528693</v>
      </c>
      <c r="AR157" s="310">
        <f t="shared" si="57"/>
        <v>41.842405277360278</v>
      </c>
      <c r="AS157" s="310">
        <f t="shared" si="57"/>
        <v>48.285981157243697</v>
      </c>
      <c r="AT157" s="310">
        <f t="shared" si="57"/>
        <v>54.847726198090001</v>
      </c>
      <c r="AU157" s="310">
        <f t="shared" si="57"/>
        <v>61.528195794955707</v>
      </c>
      <c r="AV157" s="310">
        <f t="shared" si="57"/>
        <v>68.32794795325411</v>
      </c>
      <c r="AW157" s="310">
        <f t="shared" si="57"/>
        <v>75.247543301023939</v>
      </c>
      <c r="AX157" s="310">
        <f t="shared" si="57"/>
        <v>82.287545101255716</v>
      </c>
      <c r="AY157" s="310">
        <f t="shared" si="57"/>
        <v>89.448519264276001</v>
      </c>
      <c r="AZ157" s="310">
        <f t="shared" si="57"/>
        <v>96.731034360189923</v>
      </c>
      <c r="BA157" s="310">
        <f t="shared" si="57"/>
        <v>104.13566163138206</v>
      </c>
      <c r="BB157" s="310">
        <f t="shared" si="57"/>
        <v>111.66297500507623</v>
      </c>
      <c r="BC157" s="310">
        <f t="shared" si="57"/>
        <v>119.31355110595419</v>
      </c>
    </row>
    <row r="158" spans="2:58" s="309" customFormat="1" ht="16.899999999999999" customHeight="1" outlineLevel="1" x14ac:dyDescent="0.25">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899999999999999" customHeight="1" outlineLevel="1" x14ac:dyDescent="0.25">
      <c r="B159" s="311" t="s">
        <v>466</v>
      </c>
      <c r="C159" s="312">
        <f>NPV($C$28,C156)</f>
        <v>-27.381806496689201</v>
      </c>
      <c r="D159" s="312">
        <f t="shared" ref="D159:BC159" si="58">NPV($C$28,D156)</f>
        <v>-37.535956046724209</v>
      </c>
      <c r="E159" s="312">
        <f t="shared" si="58"/>
        <v>-47.09686957812665</v>
      </c>
      <c r="F159" s="312">
        <f t="shared" si="58"/>
        <v>2.0427190878862258</v>
      </c>
      <c r="G159" s="312">
        <f t="shared" si="58"/>
        <v>2.1324040249962581</v>
      </c>
      <c r="H159" s="312">
        <f t="shared" si="58"/>
        <v>2.2225104813107022</v>
      </c>
      <c r="I159" s="312">
        <f t="shared" si="58"/>
        <v>2.3130404379698235</v>
      </c>
      <c r="J159" s="312">
        <f t="shared" si="58"/>
        <v>2.4039958854252439</v>
      </c>
      <c r="K159" s="312">
        <f t="shared" si="58"/>
        <v>2.4953788234837089</v>
      </c>
      <c r="L159" s="312">
        <f t="shared" si="58"/>
        <v>2.5871912613510442</v>
      </c>
      <c r="M159" s="312">
        <f t="shared" si="58"/>
        <v>2.6794352176763585</v>
      </c>
      <c r="N159" s="312">
        <f t="shared" si="58"/>
        <v>2.7721127205964025</v>
      </c>
      <c r="O159" s="312">
        <f t="shared" si="58"/>
        <v>2.8652258077801642</v>
      </c>
      <c r="P159" s="312">
        <f t="shared" si="58"/>
        <v>2.9587765264736943</v>
      </c>
      <c r="Q159" s="312">
        <f t="shared" si="58"/>
        <v>3.0527669335450827</v>
      </c>
      <c r="R159" s="312">
        <f t="shared" si="58"/>
        <v>3.1471990955297118</v>
      </c>
      <c r="S159" s="312">
        <f t="shared" si="58"/>
        <v>3.2420750886756631</v>
      </c>
      <c r="T159" s="312">
        <f t="shared" si="58"/>
        <v>3.3373969989894001</v>
      </c>
      <c r="U159" s="312">
        <f t="shared" si="58"/>
        <v>3.4331669222816119</v>
      </c>
      <c r="V159" s="312">
        <f t="shared" si="58"/>
        <v>3.5293869642132947</v>
      </c>
      <c r="W159" s="312">
        <f t="shared" si="58"/>
        <v>3.6260592403420602</v>
      </c>
      <c r="X159" s="312">
        <f t="shared" si="58"/>
        <v>3.7231858761686305</v>
      </c>
      <c r="Y159" s="312">
        <f t="shared" si="58"/>
        <v>3.820769007183582</v>
      </c>
      <c r="Z159" s="312">
        <f t="shared" si="58"/>
        <v>3.9188107789143132</v>
      </c>
      <c r="AA159" s="312">
        <f t="shared" si="58"/>
        <v>4.0173133469721645</v>
      </c>
      <c r="AB159" s="312">
        <f t="shared" si="58"/>
        <v>4.1162788770998997</v>
      </c>
      <c r="AC159" s="312">
        <f t="shared" si="58"/>
        <v>4.2157095452192337</v>
      </c>
      <c r="AD159" s="312">
        <f t="shared" si="58"/>
        <v>4.3156075374787219</v>
      </c>
      <c r="AE159" s="312">
        <f t="shared" si="58"/>
        <v>4.4159750503018369</v>
      </c>
      <c r="AF159" s="312">
        <f t="shared" si="58"/>
        <v>4.5168142904352191</v>
      </c>
      <c r="AG159" s="312">
        <f t="shared" si="58"/>
        <v>4.6181274749972294</v>
      </c>
      <c r="AH159" s="312">
        <f t="shared" si="58"/>
        <v>4.7199168315266817</v>
      </c>
      <c r="AI159" s="312">
        <f t="shared" si="58"/>
        <v>4.8221845980318125</v>
      </c>
      <c r="AJ159" s="312">
        <f t="shared" si="58"/>
        <v>4.9249330230395261</v>
      </c>
      <c r="AK159" s="312">
        <f t="shared" si="58"/>
        <v>5.0281643656447796</v>
      </c>
      <c r="AL159" s="312">
        <f t="shared" si="58"/>
        <v>5.1318808955602666</v>
      </c>
      <c r="AM159" s="312">
        <f t="shared" si="58"/>
        <v>5.2360848931663622</v>
      </c>
      <c r="AN159" s="312">
        <f t="shared" si="58"/>
        <v>5.3407786495612131</v>
      </c>
      <c r="AO159" s="312">
        <f t="shared" si="58"/>
        <v>5.4459644666111133</v>
      </c>
      <c r="AP159" s="312">
        <f t="shared" si="58"/>
        <v>5.5516446570011464</v>
      </c>
      <c r="AQ159" s="312">
        <f t="shared" si="58"/>
        <v>5.6578215442860085</v>
      </c>
      <c r="AR159" s="312">
        <f t="shared" si="58"/>
        <v>5.7644974629411205</v>
      </c>
      <c r="AS159" s="312">
        <f t="shared" si="58"/>
        <v>5.8716747584139073</v>
      </c>
      <c r="AT159" s="312">
        <f t="shared" si="58"/>
        <v>5.9793557871754173</v>
      </c>
      <c r="AU159" s="312">
        <f t="shared" si="58"/>
        <v>6.0875429167721045</v>
      </c>
      <c r="AV159" s="312">
        <f t="shared" si="58"/>
        <v>6.1962385258778925</v>
      </c>
      <c r="AW159" s="312">
        <f t="shared" si="58"/>
        <v>6.3054450043464856</v>
      </c>
      <c r="AX159" s="312">
        <f t="shared" si="58"/>
        <v>6.4151647532638769</v>
      </c>
      <c r="AY159" s="312">
        <f t="shared" si="58"/>
        <v>6.5254001850011738</v>
      </c>
      <c r="AZ159" s="312">
        <f t="shared" si="58"/>
        <v>6.6361537232676477</v>
      </c>
      <c r="BA159" s="312">
        <f t="shared" si="58"/>
        <v>6.7474278031639709</v>
      </c>
      <c r="BB159" s="312">
        <f t="shared" si="58"/>
        <v>6.8592248712358082</v>
      </c>
      <c r="BC159" s="312">
        <f t="shared" si="58"/>
        <v>6.9715473855275736</v>
      </c>
    </row>
    <row r="160" spans="2:58" s="309" customFormat="1" ht="16.899999999999999" customHeight="1" outlineLevel="1" x14ac:dyDescent="0.25">
      <c r="B160" s="313" t="s">
        <v>467</v>
      </c>
      <c r="C160" s="312">
        <f>C159</f>
        <v>-27.381806496689201</v>
      </c>
      <c r="D160" s="312">
        <f t="shared" ref="D160:BC160" si="59">C160+D159</f>
        <v>-64.917762543413403</v>
      </c>
      <c r="E160" s="312">
        <f t="shared" si="59"/>
        <v>-112.01463212154005</v>
      </c>
      <c r="F160" s="312">
        <f t="shared" si="59"/>
        <v>-109.97191303365382</v>
      </c>
      <c r="G160" s="312">
        <f t="shared" si="59"/>
        <v>-107.83950900865756</v>
      </c>
      <c r="H160" s="312">
        <f t="shared" si="59"/>
        <v>-105.61699852734685</v>
      </c>
      <c r="I160" s="312">
        <f t="shared" si="59"/>
        <v>-103.30395808937703</v>
      </c>
      <c r="J160" s="312">
        <f t="shared" si="59"/>
        <v>-100.89996220395179</v>
      </c>
      <c r="K160" s="312">
        <f t="shared" si="59"/>
        <v>-98.404583380468083</v>
      </c>
      <c r="L160" s="312">
        <f t="shared" si="59"/>
        <v>-95.817392119117045</v>
      </c>
      <c r="M160" s="312">
        <f t="shared" si="59"/>
        <v>-93.137956901440688</v>
      </c>
      <c r="N160" s="312">
        <f t="shared" si="59"/>
        <v>-90.365844180844292</v>
      </c>
      <c r="O160" s="312">
        <f t="shared" si="59"/>
        <v>-87.500618373064128</v>
      </c>
      <c r="P160" s="312">
        <f t="shared" si="59"/>
        <v>-84.54184184659043</v>
      </c>
      <c r="Q160" s="312">
        <f t="shared" si="59"/>
        <v>-81.489074913045343</v>
      </c>
      <c r="R160" s="312">
        <f t="shared" si="59"/>
        <v>-78.341875817515628</v>
      </c>
      <c r="S160" s="312">
        <f t="shared" si="59"/>
        <v>-75.099800728839966</v>
      </c>
      <c r="T160" s="312">
        <f t="shared" si="59"/>
        <v>-71.762403729850561</v>
      </c>
      <c r="U160" s="312">
        <f t="shared" si="59"/>
        <v>-68.329236807568947</v>
      </c>
      <c r="V160" s="312">
        <f t="shared" si="59"/>
        <v>-64.799849843355645</v>
      </c>
      <c r="W160" s="312">
        <f t="shared" si="59"/>
        <v>-61.173790603013586</v>
      </c>
      <c r="X160" s="312">
        <f t="shared" si="59"/>
        <v>-57.450604726844958</v>
      </c>
      <c r="Y160" s="312">
        <f t="shared" si="59"/>
        <v>-53.629835719661372</v>
      </c>
      <c r="Z160" s="312">
        <f t="shared" si="59"/>
        <v>-49.711024940747059</v>
      </c>
      <c r="AA160" s="312">
        <f t="shared" si="59"/>
        <v>-45.693711593774893</v>
      </c>
      <c r="AB160" s="312">
        <f t="shared" si="59"/>
        <v>-41.577432716674991</v>
      </c>
      <c r="AC160" s="312">
        <f t="shared" si="59"/>
        <v>-37.361723171455758</v>
      </c>
      <c r="AD160" s="312">
        <f t="shared" si="59"/>
        <v>-33.046115633977038</v>
      </c>
      <c r="AE160" s="312">
        <f t="shared" si="59"/>
        <v>-28.6301405836752</v>
      </c>
      <c r="AF160" s="312">
        <f t="shared" si="59"/>
        <v>-24.113326293239979</v>
      </c>
      <c r="AG160" s="312">
        <f t="shared" si="59"/>
        <v>-19.495198818242748</v>
      </c>
      <c r="AH160" s="312">
        <f t="shared" si="59"/>
        <v>-14.775281986716067</v>
      </c>
      <c r="AI160" s="312">
        <f t="shared" si="59"/>
        <v>-9.9530973886842542</v>
      </c>
      <c r="AJ160" s="312">
        <f t="shared" si="59"/>
        <v>-5.0281643656447281</v>
      </c>
      <c r="AK160" s="312">
        <f t="shared" si="59"/>
        <v>5.1514348342607263E-14</v>
      </c>
      <c r="AL160" s="312">
        <f t="shared" si="59"/>
        <v>5.1318808955603181</v>
      </c>
      <c r="AM160" s="312">
        <f t="shared" si="59"/>
        <v>10.36796578872668</v>
      </c>
      <c r="AN160" s="312">
        <f t="shared" si="59"/>
        <v>15.708744438287894</v>
      </c>
      <c r="AO160" s="312">
        <f t="shared" si="59"/>
        <v>21.154708904899007</v>
      </c>
      <c r="AP160" s="312">
        <f t="shared" si="59"/>
        <v>26.706353561900151</v>
      </c>
      <c r="AQ160" s="312">
        <f t="shared" si="59"/>
        <v>32.36417510618616</v>
      </c>
      <c r="AR160" s="312">
        <f t="shared" si="59"/>
        <v>38.128672569127282</v>
      </c>
      <c r="AS160" s="312">
        <f t="shared" si="59"/>
        <v>44.000347327541192</v>
      </c>
      <c r="AT160" s="312">
        <f t="shared" si="59"/>
        <v>49.979703114716607</v>
      </c>
      <c r="AU160" s="312">
        <f t="shared" si="59"/>
        <v>56.067246031488708</v>
      </c>
      <c r="AV160" s="312">
        <f t="shared" si="59"/>
        <v>62.263484557366603</v>
      </c>
      <c r="AW160" s="312">
        <f t="shared" si="59"/>
        <v>68.568929561713091</v>
      </c>
      <c r="AX160" s="312">
        <f t="shared" si="59"/>
        <v>74.984094314976971</v>
      </c>
      <c r="AY160" s="312">
        <f t="shared" si="59"/>
        <v>81.509494499978146</v>
      </c>
      <c r="AZ160" s="312">
        <f t="shared" si="59"/>
        <v>88.1456482232458</v>
      </c>
      <c r="BA160" s="312">
        <f t="shared" si="59"/>
        <v>94.893076026409773</v>
      </c>
      <c r="BB160" s="312">
        <f t="shared" si="59"/>
        <v>101.75230089764558</v>
      </c>
      <c r="BC160" s="312">
        <f t="shared" si="59"/>
        <v>108.72384828317315</v>
      </c>
    </row>
    <row r="161" spans="1:58" s="309" customFormat="1" ht="16.899999999999999" customHeight="1" outlineLevel="1" x14ac:dyDescent="0.25">
      <c r="B161" s="309" t="s">
        <v>416</v>
      </c>
      <c r="C161" s="310">
        <f t="shared" ref="C161:AH161" si="60">C156/(1+$C$28)^C32</f>
        <v>-30.048794449466726</v>
      </c>
      <c r="D161" s="310">
        <f t="shared" si="60"/>
        <v>-37.535956046724209</v>
      </c>
      <c r="E161" s="310">
        <f t="shared" si="60"/>
        <v>-42.916775631608033</v>
      </c>
      <c r="F161" s="310">
        <f t="shared" si="60"/>
        <v>1.696206547920718</v>
      </c>
      <c r="G161" s="310">
        <f t="shared" si="60"/>
        <v>1.6135210144728083</v>
      </c>
      <c r="H161" s="310">
        <f t="shared" si="60"/>
        <v>1.5324418166708043</v>
      </c>
      <c r="I161" s="310">
        <f t="shared" si="60"/>
        <v>1.4533106166021781</v>
      </c>
      <c r="J161" s="310">
        <f t="shared" si="60"/>
        <v>1.3763978477529739</v>
      </c>
      <c r="K161" s="310">
        <f t="shared" si="60"/>
        <v>1.3019124922034391</v>
      </c>
      <c r="L161" s="310">
        <f t="shared" si="60"/>
        <v>1.230010698170201</v>
      </c>
      <c r="M161" s="310">
        <f t="shared" si="60"/>
        <v>1.1608033654758207</v>
      </c>
      <c r="N161" s="310">
        <f t="shared" si="60"/>
        <v>1.094362813120286</v>
      </c>
      <c r="O161" s="310">
        <f t="shared" si="60"/>
        <v>1.0307286310887442</v>
      </c>
      <c r="P161" s="310">
        <f t="shared" si="60"/>
        <v>0.96991280771905464</v>
      </c>
      <c r="Q161" s="310">
        <f t="shared" si="60"/>
        <v>0.91190421424903534</v>
      </c>
      <c r="R161" s="310">
        <f t="shared" si="60"/>
        <v>0.85667251945593059</v>
      </c>
      <c r="S161" s="310">
        <f t="shared" si="60"/>
        <v>0.80417159948953398</v>
      </c>
      <c r="T161" s="310">
        <f t="shared" si="60"/>
        <v>0.75434250099591782</v>
      </c>
      <c r="U161" s="310">
        <f t="shared" si="60"/>
        <v>0.70711600934937824</v>
      </c>
      <c r="V161" s="310">
        <f t="shared" si="60"/>
        <v>0.66241486818315454</v>
      </c>
      <c r="W161" s="310">
        <f t="shared" si="60"/>
        <v>0.62015569136862858</v>
      </c>
      <c r="X161" s="310">
        <f t="shared" si="60"/>
        <v>0.58025060407878093</v>
      </c>
      <c r="Y161" s="310">
        <f t="shared" si="60"/>
        <v>0.5426086455311957</v>
      </c>
      <c r="Z161" s="310">
        <f t="shared" si="60"/>
        <v>0.50713696239064066</v>
      </c>
      <c r="AA161" s="310">
        <f t="shared" si="60"/>
        <v>0.47374181857788006</v>
      </c>
      <c r="AB161" s="310">
        <f t="shared" si="60"/>
        <v>0.44232944434088151</v>
      </c>
      <c r="AC161" s="310">
        <f t="shared" si="60"/>
        <v>0.41280674486166663</v>
      </c>
      <c r="AD161" s="310">
        <f t="shared" si="60"/>
        <v>0.38508188636534879</v>
      </c>
      <c r="AE161" s="310">
        <f t="shared" si="60"/>
        <v>0.35906477563866035</v>
      </c>
      <c r="AF161" s="310">
        <f t="shared" si="60"/>
        <v>0.33466744702811424</v>
      </c>
      <c r="AG161" s="310">
        <f t="shared" si="60"/>
        <v>0.3118043693497683</v>
      </c>
      <c r="AH161" s="310">
        <f t="shared" si="60"/>
        <v>0.29039268368263882</v>
      </c>
      <c r="AI161" s="310">
        <f t="shared" ref="AI161:BC161" si="61">AI156/(1+$C$28)^AI32</f>
        <v>0.27035238171761311</v>
      </c>
      <c r="AJ161" s="310">
        <f t="shared" si="61"/>
        <v>0.25160643317646869</v>
      </c>
      <c r="AK161" s="310">
        <f t="shared" si="61"/>
        <v>0.23408086978630963</v>
      </c>
      <c r="AL161" s="310">
        <f t="shared" si="61"/>
        <v>0.21770483237992261</v>
      </c>
      <c r="AM161" s="310">
        <f t="shared" si="61"/>
        <v>0.2024105868800731</v>
      </c>
      <c r="AN161" s="310">
        <f t="shared" si="61"/>
        <v>0.18813351420476856</v>
      </c>
      <c r="AO161" s="310">
        <f t="shared" si="61"/>
        <v>0.17481207849126523</v>
      </c>
      <c r="AP161" s="310">
        <f t="shared" si="61"/>
        <v>0.16238777747029162</v>
      </c>
      <c r="AQ161" s="310">
        <f t="shared" si="61"/>
        <v>0.15080507832080003</v>
      </c>
      <c r="AR161" s="310">
        <f t="shared" si="61"/>
        <v>0.1400113418924839</v>
      </c>
      <c r="AS161" s="310">
        <f t="shared" si="61"/>
        <v>0.1299567377920039</v>
      </c>
      <c r="AT161" s="310">
        <f t="shared" si="61"/>
        <v>0.12059415248371619</v>
      </c>
      <c r="AU161" s="310">
        <f t="shared" si="61"/>
        <v>0.11187909225160902</v>
      </c>
      <c r="AV161" s="310">
        <f t="shared" si="61"/>
        <v>0.10376958260163491</v>
      </c>
      <c r="AW161" s="310">
        <f t="shared" si="61"/>
        <v>9.6226065448587944E-2</v>
      </c>
      <c r="AX161" s="310">
        <f t="shared" si="61"/>
        <v>8.921129522552218E-2</v>
      </c>
      <c r="AY161" s="310">
        <f t="shared" si="61"/>
        <v>8.2690234873185831E-2</v>
      </c>
      <c r="AZ161" s="310">
        <f t="shared" si="61"/>
        <v>7.6629952509160285E-2</v>
      </c>
      <c r="BA161" s="310">
        <f t="shared" si="61"/>
        <v>7.0999519438765438E-2</v>
      </c>
      <c r="BB161" s="310">
        <f t="shared" si="61"/>
        <v>6.5769910050011635E-2</v>
      </c>
      <c r="BC161" s="310">
        <f t="shared" si="61"/>
        <v>6.0913904030876771E-2</v>
      </c>
    </row>
    <row r="162" spans="1:58" s="309" customFormat="1" ht="16.899999999999999" customHeight="1" outlineLevel="1" x14ac:dyDescent="0.25">
      <c r="B162" s="314" t="s">
        <v>417</v>
      </c>
      <c r="C162" s="310">
        <f>C161</f>
        <v>-30.048794449466726</v>
      </c>
      <c r="D162" s="310">
        <f t="shared" ref="D162:BC162" si="62">C162+D161</f>
        <v>-67.584750496190935</v>
      </c>
      <c r="E162" s="310">
        <f t="shared" si="62"/>
        <v>-110.50152612779897</v>
      </c>
      <c r="F162" s="310">
        <f t="shared" si="62"/>
        <v>-108.80531957987824</v>
      </c>
      <c r="G162" s="310">
        <f t="shared" si="62"/>
        <v>-107.19179856540543</v>
      </c>
      <c r="H162" s="310">
        <f t="shared" si="62"/>
        <v>-105.65935674873464</v>
      </c>
      <c r="I162" s="310">
        <f t="shared" si="62"/>
        <v>-104.20604613213246</v>
      </c>
      <c r="J162" s="310">
        <f t="shared" si="62"/>
        <v>-102.82964828437949</v>
      </c>
      <c r="K162" s="310">
        <f t="shared" si="62"/>
        <v>-101.52773579217605</v>
      </c>
      <c r="L162" s="310">
        <f t="shared" si="62"/>
        <v>-100.29772509400584</v>
      </c>
      <c r="M162" s="310">
        <f t="shared" si="62"/>
        <v>-99.136921728530027</v>
      </c>
      <c r="N162" s="310">
        <f t="shared" si="62"/>
        <v>-98.042558915409742</v>
      </c>
      <c r="O162" s="310">
        <f t="shared" si="62"/>
        <v>-97.011830284320993</v>
      </c>
      <c r="P162" s="310">
        <f t="shared" si="62"/>
        <v>-96.041917476601938</v>
      </c>
      <c r="Q162" s="310">
        <f t="shared" si="62"/>
        <v>-95.130013262352904</v>
      </c>
      <c r="R162" s="310">
        <f t="shared" si="62"/>
        <v>-94.273340742896977</v>
      </c>
      <c r="S162" s="310">
        <f t="shared" si="62"/>
        <v>-93.469169143407441</v>
      </c>
      <c r="T162" s="310">
        <f t="shared" si="62"/>
        <v>-92.714826642411523</v>
      </c>
      <c r="U162" s="310">
        <f t="shared" si="62"/>
        <v>-92.007710633062146</v>
      </c>
      <c r="V162" s="310">
        <f t="shared" si="62"/>
        <v>-91.345295764878998</v>
      </c>
      <c r="W162" s="310">
        <f t="shared" si="62"/>
        <v>-90.725140073510374</v>
      </c>
      <c r="X162" s="310">
        <f t="shared" si="62"/>
        <v>-90.14488946943159</v>
      </c>
      <c r="Y162" s="310">
        <f t="shared" si="62"/>
        <v>-89.602280823900401</v>
      </c>
      <c r="Z162" s="310">
        <f t="shared" si="62"/>
        <v>-89.095143861509754</v>
      </c>
      <c r="AA162" s="310">
        <f t="shared" si="62"/>
        <v>-88.621402042931877</v>
      </c>
      <c r="AB162" s="310">
        <f t="shared" si="62"/>
        <v>-88.179072598590992</v>
      </c>
      <c r="AC162" s="310">
        <f t="shared" si="62"/>
        <v>-87.766265853729323</v>
      </c>
      <c r="AD162" s="310">
        <f t="shared" si="62"/>
        <v>-87.381183967363967</v>
      </c>
      <c r="AE162" s="310">
        <f t="shared" si="62"/>
        <v>-87.022119191725309</v>
      </c>
      <c r="AF162" s="310">
        <f t="shared" si="62"/>
        <v>-86.687451744697199</v>
      </c>
      <c r="AG162" s="310">
        <f t="shared" si="62"/>
        <v>-86.375647375347427</v>
      </c>
      <c r="AH162" s="310">
        <f t="shared" si="62"/>
        <v>-86.085254691664787</v>
      </c>
      <c r="AI162" s="310">
        <f t="shared" si="62"/>
        <v>-85.814902309947172</v>
      </c>
      <c r="AJ162" s="310">
        <f t="shared" si="62"/>
        <v>-85.563295876770709</v>
      </c>
      <c r="AK162" s="310">
        <f t="shared" si="62"/>
        <v>-85.329215006984398</v>
      </c>
      <c r="AL162" s="310">
        <f t="shared" si="62"/>
        <v>-85.111510174604476</v>
      </c>
      <c r="AM162" s="310">
        <f t="shared" si="62"/>
        <v>-84.909099587724398</v>
      </c>
      <c r="AN162" s="310">
        <f t="shared" si="62"/>
        <v>-84.720966073519634</v>
      </c>
      <c r="AO162" s="310">
        <f t="shared" si="62"/>
        <v>-84.546153995028362</v>
      </c>
      <c r="AP162" s="310">
        <f t="shared" si="62"/>
        <v>-84.383766217558076</v>
      </c>
      <c r="AQ162" s="310">
        <f t="shared" si="62"/>
        <v>-84.232961139237275</v>
      </c>
      <c r="AR162" s="310">
        <f t="shared" si="62"/>
        <v>-84.092949797344787</v>
      </c>
      <c r="AS162" s="310">
        <f t="shared" si="62"/>
        <v>-83.962993059552787</v>
      </c>
      <c r="AT162" s="310">
        <f t="shared" si="62"/>
        <v>-83.842398907069068</v>
      </c>
      <c r="AU162" s="310">
        <f t="shared" si="62"/>
        <v>-83.730519814817455</v>
      </c>
      <c r="AV162" s="310">
        <f t="shared" si="62"/>
        <v>-83.626750232215826</v>
      </c>
      <c r="AW162" s="310">
        <f t="shared" si="62"/>
        <v>-83.530524166767236</v>
      </c>
      <c r="AX162" s="310">
        <f t="shared" si="62"/>
        <v>-83.441312871541712</v>
      </c>
      <c r="AY162" s="310">
        <f t="shared" si="62"/>
        <v>-83.358622636668528</v>
      </c>
      <c r="AZ162" s="310">
        <f t="shared" si="62"/>
        <v>-83.281992684159363</v>
      </c>
      <c r="BA162" s="310">
        <f t="shared" si="62"/>
        <v>-83.210993164720591</v>
      </c>
      <c r="BB162" s="310">
        <f t="shared" si="62"/>
        <v>-83.145223254670583</v>
      </c>
      <c r="BC162" s="310">
        <f t="shared" si="62"/>
        <v>-83.0843093506397</v>
      </c>
    </row>
    <row r="163" spans="1:58" s="309" customFormat="1" ht="16.899999999999999" customHeight="1" outlineLevel="1" x14ac:dyDescent="0.25">
      <c r="B163" s="314" t="s">
        <v>418</v>
      </c>
      <c r="C163" s="310">
        <f t="shared" ref="C163:AH163" si="63">C63/(1+$C$28)^C32</f>
        <v>57.387502756210623</v>
      </c>
      <c r="D163" s="310">
        <f t="shared" si="63"/>
        <v>62.5821988880178</v>
      </c>
      <c r="E163" s="310">
        <f t="shared" si="63"/>
        <v>65.862703030733101</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899999999999999" customHeight="1" outlineLevel="1" x14ac:dyDescent="0.25">
      <c r="B164" s="314" t="s">
        <v>419</v>
      </c>
      <c r="C164" s="315">
        <f t="shared" ref="C164:BC164" si="65">IF(C$32&lt;=3,1,IF(C157&lt;0,1,IF(B164=1,1-(C157/C156),0)))</f>
        <v>1</v>
      </c>
      <c r="D164" s="315">
        <f t="shared" si="65"/>
        <v>1</v>
      </c>
      <c r="E164" s="315">
        <f t="shared" si="65"/>
        <v>1</v>
      </c>
      <c r="F164" s="315">
        <f t="shared" si="65"/>
        <v>1</v>
      </c>
      <c r="G164" s="315">
        <f t="shared" si="65"/>
        <v>1</v>
      </c>
      <c r="H164" s="315">
        <f t="shared" si="65"/>
        <v>1</v>
      </c>
      <c r="I164" s="315">
        <f t="shared" si="65"/>
        <v>1</v>
      </c>
      <c r="J164" s="315">
        <f t="shared" si="65"/>
        <v>1</v>
      </c>
      <c r="K164" s="315">
        <f t="shared" si="65"/>
        <v>1</v>
      </c>
      <c r="L164" s="315">
        <f t="shared" si="65"/>
        <v>1</v>
      </c>
      <c r="M164" s="315">
        <f t="shared" si="65"/>
        <v>1</v>
      </c>
      <c r="N164" s="315">
        <f t="shared" si="65"/>
        <v>1</v>
      </c>
      <c r="O164" s="315">
        <f t="shared" si="65"/>
        <v>1</v>
      </c>
      <c r="P164" s="315">
        <f t="shared" si="65"/>
        <v>1</v>
      </c>
      <c r="Q164" s="315">
        <f t="shared" si="65"/>
        <v>1</v>
      </c>
      <c r="R164" s="315">
        <f t="shared" si="65"/>
        <v>1</v>
      </c>
      <c r="S164" s="315">
        <f t="shared" si="65"/>
        <v>1</v>
      </c>
      <c r="T164" s="315">
        <f t="shared" si="65"/>
        <v>1</v>
      </c>
      <c r="U164" s="315">
        <f t="shared" si="65"/>
        <v>1</v>
      </c>
      <c r="V164" s="315">
        <f t="shared" si="65"/>
        <v>1</v>
      </c>
      <c r="W164" s="315">
        <f t="shared" si="65"/>
        <v>1</v>
      </c>
      <c r="X164" s="315">
        <f t="shared" si="65"/>
        <v>1</v>
      </c>
      <c r="Y164" s="315">
        <f t="shared" si="65"/>
        <v>1</v>
      </c>
      <c r="Z164" s="315">
        <f t="shared" si="65"/>
        <v>1</v>
      </c>
      <c r="AA164" s="315">
        <f t="shared" si="65"/>
        <v>1</v>
      </c>
      <c r="AB164" s="315">
        <f t="shared" si="65"/>
        <v>1</v>
      </c>
      <c r="AC164" s="315">
        <f t="shared" si="65"/>
        <v>1</v>
      </c>
      <c r="AD164" s="315">
        <f t="shared" si="65"/>
        <v>1</v>
      </c>
      <c r="AE164" s="315">
        <f t="shared" si="65"/>
        <v>1</v>
      </c>
      <c r="AF164" s="315">
        <f t="shared" si="65"/>
        <v>1</v>
      </c>
      <c r="AG164" s="315">
        <f t="shared" si="65"/>
        <v>1</v>
      </c>
      <c r="AH164" s="315">
        <f t="shared" si="65"/>
        <v>1</v>
      </c>
      <c r="AI164" s="315">
        <f t="shared" si="65"/>
        <v>1</v>
      </c>
      <c r="AJ164" s="315">
        <f t="shared" si="65"/>
        <v>1</v>
      </c>
      <c r="AK164" s="315">
        <f t="shared" si="65"/>
        <v>0.99999999999998923</v>
      </c>
      <c r="AL164" s="315">
        <f t="shared" si="65"/>
        <v>0</v>
      </c>
      <c r="AM164" s="315">
        <f t="shared" si="65"/>
        <v>0</v>
      </c>
      <c r="AN164" s="315">
        <f t="shared" si="65"/>
        <v>0</v>
      </c>
      <c r="AO164" s="315">
        <f t="shared" si="65"/>
        <v>0</v>
      </c>
      <c r="AP164" s="315">
        <f t="shared" si="65"/>
        <v>0</v>
      </c>
      <c r="AQ164" s="315">
        <f t="shared" si="65"/>
        <v>0</v>
      </c>
      <c r="AR164" s="315">
        <f t="shared" si="65"/>
        <v>0</v>
      </c>
      <c r="AS164" s="315">
        <f t="shared" si="65"/>
        <v>0</v>
      </c>
      <c r="AT164" s="315">
        <f t="shared" si="65"/>
        <v>0</v>
      </c>
      <c r="AU164" s="315">
        <f t="shared" si="65"/>
        <v>0</v>
      </c>
      <c r="AV164" s="315">
        <f t="shared" si="65"/>
        <v>0</v>
      </c>
      <c r="AW164" s="315">
        <f t="shared" si="65"/>
        <v>0</v>
      </c>
      <c r="AX164" s="315">
        <f t="shared" si="65"/>
        <v>0</v>
      </c>
      <c r="AY164" s="315">
        <f t="shared" si="65"/>
        <v>0</v>
      </c>
      <c r="AZ164" s="315">
        <f t="shared" si="65"/>
        <v>0</v>
      </c>
      <c r="BA164" s="315">
        <f t="shared" si="65"/>
        <v>0</v>
      </c>
      <c r="BB164" s="315">
        <f t="shared" si="65"/>
        <v>0</v>
      </c>
      <c r="BC164" s="315">
        <f t="shared" si="65"/>
        <v>0</v>
      </c>
    </row>
    <row r="165" spans="1:58" s="309" customFormat="1" ht="16.899999999999999" customHeight="1" outlineLevel="1" x14ac:dyDescent="0.25">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f>IF(AK31=1,IRR($C156:AK156),"-")</f>
        <v>-1.3322676295501878E-15</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899999999999999" customHeight="1" outlineLevel="1" x14ac:dyDescent="0.25">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899999999999999" customHeight="1" outlineLevel="1" x14ac:dyDescent="0.25">
      <c r="B167" s="908" t="s">
        <v>421</v>
      </c>
      <c r="C167" s="310">
        <f>C63*(1-$D$14)</f>
        <v>40.171251929347434</v>
      </c>
      <c r="D167" s="310">
        <f t="shared" ref="D167:BC167" si="66">D63*(1-$D$14)</f>
        <v>48.074393541797512</v>
      </c>
      <c r="E167" s="310">
        <f t="shared" si="66"/>
        <v>55.522306866406609</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899999999999999" customHeight="1" outlineLevel="1" x14ac:dyDescent="0.25">
      <c r="B168" s="909" t="s">
        <v>676</v>
      </c>
      <c r="C168" s="310">
        <f>C167</f>
        <v>40.171251929347434</v>
      </c>
      <c r="D168" s="310">
        <f t="shared" ref="D168:BC168" si="67">C173+D167</f>
        <v>88.24564547114494</v>
      </c>
      <c r="E168" s="310">
        <f t="shared" si="67"/>
        <v>143.76795233755155</v>
      </c>
      <c r="F168" s="310">
        <f t="shared" si="67"/>
        <v>143.76795233755155</v>
      </c>
      <c r="G168" s="310">
        <f t="shared" si="67"/>
        <v>136.57955472067397</v>
      </c>
      <c r="H168" s="310">
        <f t="shared" si="67"/>
        <v>129.39115710379639</v>
      </c>
      <c r="I168" s="310">
        <f t="shared" si="67"/>
        <v>122.20275948691881</v>
      </c>
      <c r="J168" s="310">
        <f t="shared" si="67"/>
        <v>115.01436187004123</v>
      </c>
      <c r="K168" s="310">
        <f t="shared" si="67"/>
        <v>107.82596425316365</v>
      </c>
      <c r="L168" s="310">
        <f t="shared" si="67"/>
        <v>100.63756663628607</v>
      </c>
      <c r="M168" s="310">
        <f t="shared" si="67"/>
        <v>93.449169019408487</v>
      </c>
      <c r="N168" s="310">
        <f t="shared" si="67"/>
        <v>86.260771402530906</v>
      </c>
      <c r="O168" s="310">
        <f t="shared" si="67"/>
        <v>79.072373785653326</v>
      </c>
      <c r="P168" s="310">
        <f t="shared" si="67"/>
        <v>71.883976168775746</v>
      </c>
      <c r="Q168" s="310">
        <f t="shared" si="67"/>
        <v>64.695578551898166</v>
      </c>
      <c r="R168" s="310">
        <f t="shared" si="67"/>
        <v>57.507180935020585</v>
      </c>
      <c r="S168" s="310">
        <f t="shared" si="67"/>
        <v>50.318783318143005</v>
      </c>
      <c r="T168" s="310">
        <f t="shared" si="67"/>
        <v>43.130385701265425</v>
      </c>
      <c r="U168" s="310">
        <f t="shared" si="67"/>
        <v>35.941988084387845</v>
      </c>
      <c r="V168" s="310">
        <f t="shared" si="67"/>
        <v>28.753590467510268</v>
      </c>
      <c r="W168" s="310">
        <f t="shared" si="67"/>
        <v>21.565192850632691</v>
      </c>
      <c r="X168" s="310">
        <f t="shared" si="67"/>
        <v>14.376795233755114</v>
      </c>
      <c r="Y168" s="310">
        <f t="shared" si="67"/>
        <v>7.1883976168775368</v>
      </c>
      <c r="Z168" s="310">
        <f t="shared" si="67"/>
        <v>-4.0856207306205761E-14</v>
      </c>
      <c r="AA168" s="310">
        <f t="shared" si="67"/>
        <v>-4.0856207306205761E-14</v>
      </c>
      <c r="AB168" s="310">
        <f t="shared" si="67"/>
        <v>-4.0856207306205761E-14</v>
      </c>
      <c r="AC168" s="310">
        <f t="shared" si="67"/>
        <v>-4.0856207306205761E-14</v>
      </c>
      <c r="AD168" s="310">
        <f t="shared" si="67"/>
        <v>-4.0856207306205761E-14</v>
      </c>
      <c r="AE168" s="310">
        <f t="shared" si="67"/>
        <v>-4.0856207306205761E-14</v>
      </c>
      <c r="AF168" s="310">
        <f t="shared" si="67"/>
        <v>-4.0856207306205761E-14</v>
      </c>
      <c r="AG168" s="310">
        <f t="shared" si="67"/>
        <v>-4.0856207306205761E-14</v>
      </c>
      <c r="AH168" s="310">
        <f t="shared" si="67"/>
        <v>-4.0856207306205761E-14</v>
      </c>
      <c r="AI168" s="310">
        <f t="shared" si="67"/>
        <v>-4.0856207306205761E-14</v>
      </c>
      <c r="AJ168" s="310">
        <f t="shared" si="67"/>
        <v>-4.0856207306205761E-14</v>
      </c>
      <c r="AK168" s="310">
        <f t="shared" si="67"/>
        <v>-4.0856207306205761E-14</v>
      </c>
      <c r="AL168" s="310">
        <f t="shared" si="67"/>
        <v>-4.0856207306205761E-14</v>
      </c>
      <c r="AM168" s="310">
        <f t="shared" si="67"/>
        <v>-4.0856207306205761E-14</v>
      </c>
      <c r="AN168" s="310">
        <f t="shared" si="67"/>
        <v>-4.0856207306205761E-14</v>
      </c>
      <c r="AO168" s="310">
        <f t="shared" si="67"/>
        <v>-4.0856207306205761E-14</v>
      </c>
      <c r="AP168" s="310">
        <f t="shared" si="67"/>
        <v>-4.0856207306205761E-14</v>
      </c>
      <c r="AQ168" s="310">
        <f t="shared" si="67"/>
        <v>-4.0856207306205761E-14</v>
      </c>
      <c r="AR168" s="310">
        <f t="shared" si="67"/>
        <v>-4.0856207306205761E-14</v>
      </c>
      <c r="AS168" s="310">
        <f t="shared" si="67"/>
        <v>-4.0856207306205761E-14</v>
      </c>
      <c r="AT168" s="310">
        <f t="shared" si="67"/>
        <v>-4.0856207306205761E-14</v>
      </c>
      <c r="AU168" s="310">
        <f t="shared" si="67"/>
        <v>-4.0856207306205761E-14</v>
      </c>
      <c r="AV168" s="310">
        <f t="shared" si="67"/>
        <v>-4.0856207306205761E-14</v>
      </c>
      <c r="AW168" s="310">
        <f t="shared" si="67"/>
        <v>-4.0856207306205761E-14</v>
      </c>
      <c r="AX168" s="310">
        <f t="shared" si="67"/>
        <v>-4.0856207306205761E-14</v>
      </c>
      <c r="AY168" s="310">
        <f t="shared" si="67"/>
        <v>-4.0856207306205761E-14</v>
      </c>
      <c r="AZ168" s="310">
        <f t="shared" si="67"/>
        <v>-4.0856207306205761E-14</v>
      </c>
      <c r="BA168" s="310">
        <f t="shared" si="67"/>
        <v>-4.0856207306205761E-14</v>
      </c>
      <c r="BB168" s="310">
        <f t="shared" si="67"/>
        <v>-4.0856207306205761E-14</v>
      </c>
      <c r="BC168" s="310">
        <f t="shared" si="67"/>
        <v>-4.0856207306205761E-14</v>
      </c>
    </row>
    <row r="169" spans="1:58" s="309" customFormat="1" ht="16.899999999999999" customHeight="1" outlineLevel="1" x14ac:dyDescent="0.25">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899999999999999" customHeight="1" outlineLevel="1" x14ac:dyDescent="0.25">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899999999999999" customHeight="1" outlineLevel="1" x14ac:dyDescent="0.25">
      <c r="B171" s="908" t="s">
        <v>423</v>
      </c>
      <c r="C171" s="310">
        <v>0</v>
      </c>
      <c r="D171" s="310">
        <f t="shared" ref="D171:AI171" si="70">IF(D170=0,0,IF(D170=1,-1*SUM($C167:$BC167)/$C$22,0))</f>
        <v>0</v>
      </c>
      <c r="E171" s="310">
        <f t="shared" si="70"/>
        <v>0</v>
      </c>
      <c r="F171" s="310">
        <f t="shared" si="70"/>
        <v>-7.1883976168775776</v>
      </c>
      <c r="G171" s="310">
        <f t="shared" si="70"/>
        <v>-7.1883976168775776</v>
      </c>
      <c r="H171" s="310">
        <f t="shared" si="70"/>
        <v>-7.1883976168775776</v>
      </c>
      <c r="I171" s="310">
        <f t="shared" si="70"/>
        <v>-7.1883976168775776</v>
      </c>
      <c r="J171" s="310">
        <f t="shared" si="70"/>
        <v>-7.1883976168775776</v>
      </c>
      <c r="K171" s="310">
        <f t="shared" si="70"/>
        <v>-7.1883976168775776</v>
      </c>
      <c r="L171" s="310">
        <f t="shared" si="70"/>
        <v>-7.1883976168775776</v>
      </c>
      <c r="M171" s="310">
        <f t="shared" si="70"/>
        <v>-7.1883976168775776</v>
      </c>
      <c r="N171" s="310">
        <f t="shared" si="70"/>
        <v>-7.1883976168775776</v>
      </c>
      <c r="O171" s="310">
        <f t="shared" si="70"/>
        <v>-7.1883976168775776</v>
      </c>
      <c r="P171" s="310">
        <f t="shared" si="70"/>
        <v>-7.1883976168775776</v>
      </c>
      <c r="Q171" s="310">
        <f t="shared" si="70"/>
        <v>-7.1883976168775776</v>
      </c>
      <c r="R171" s="310">
        <f t="shared" si="70"/>
        <v>-7.1883976168775776</v>
      </c>
      <c r="S171" s="310">
        <f t="shared" si="70"/>
        <v>-7.1883976168775776</v>
      </c>
      <c r="T171" s="310">
        <f t="shared" si="70"/>
        <v>-7.1883976168775776</v>
      </c>
      <c r="U171" s="310">
        <f t="shared" si="70"/>
        <v>-7.1883976168775776</v>
      </c>
      <c r="V171" s="310">
        <f t="shared" si="70"/>
        <v>-7.1883976168775776</v>
      </c>
      <c r="W171" s="310">
        <f t="shared" si="70"/>
        <v>-7.1883976168775776</v>
      </c>
      <c r="X171" s="310">
        <f t="shared" si="70"/>
        <v>-7.1883976168775776</v>
      </c>
      <c r="Y171" s="310">
        <f t="shared" si="70"/>
        <v>-7.1883976168775776</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899999999999999" customHeight="1" outlineLevel="1" x14ac:dyDescent="0.25">
      <c r="B172" s="908" t="s">
        <v>424</v>
      </c>
      <c r="C172" s="310">
        <v>0</v>
      </c>
      <c r="D172" s="310">
        <f t="shared" ref="D172:AI172" si="72">IF(D170=0,-1*$C$24*C173,IF(D170=1,-1*$C$21*C173,0))</f>
        <v>-1.7474494589266132</v>
      </c>
      <c r="E172" s="310">
        <f t="shared" si="72"/>
        <v>-3.8386855779948048</v>
      </c>
      <c r="F172" s="310">
        <f t="shared" si="72"/>
        <v>-7.1883976168775776</v>
      </c>
      <c r="G172" s="310">
        <f t="shared" si="72"/>
        <v>-6.828977736033699</v>
      </c>
      <c r="H172" s="310">
        <f t="shared" si="72"/>
        <v>-6.4695578551898194</v>
      </c>
      <c r="I172" s="310">
        <f t="shared" si="72"/>
        <v>-6.1101379743459407</v>
      </c>
      <c r="J172" s="310">
        <f t="shared" si="72"/>
        <v>-5.7507180935020621</v>
      </c>
      <c r="K172" s="310">
        <f t="shared" si="72"/>
        <v>-5.3912982126581825</v>
      </c>
      <c r="L172" s="310">
        <f t="shared" si="72"/>
        <v>-5.0318783318143039</v>
      </c>
      <c r="M172" s="310">
        <f t="shared" si="72"/>
        <v>-4.6724584509704243</v>
      </c>
      <c r="N172" s="310">
        <f t="shared" si="72"/>
        <v>-4.3130385701265457</v>
      </c>
      <c r="O172" s="310">
        <f t="shared" si="72"/>
        <v>-3.9536186892826666</v>
      </c>
      <c r="P172" s="310">
        <f t="shared" si="72"/>
        <v>-3.5941988084387875</v>
      </c>
      <c r="Q172" s="310">
        <f t="shared" si="72"/>
        <v>-3.2347789275949084</v>
      </c>
      <c r="R172" s="310">
        <f t="shared" si="72"/>
        <v>-2.8753590467510293</v>
      </c>
      <c r="S172" s="310">
        <f t="shared" si="72"/>
        <v>-2.5159391659071506</v>
      </c>
      <c r="T172" s="310">
        <f t="shared" si="72"/>
        <v>-2.1565192850632715</v>
      </c>
      <c r="U172" s="310">
        <f t="shared" si="72"/>
        <v>-1.7970994042193924</v>
      </c>
      <c r="V172" s="310">
        <f t="shared" si="72"/>
        <v>-1.4376795233755135</v>
      </c>
      <c r="W172" s="310">
        <f t="shared" si="72"/>
        <v>-1.0782596425316346</v>
      </c>
      <c r="X172" s="310">
        <f t="shared" si="72"/>
        <v>-0.71883976168775576</v>
      </c>
      <c r="Y172" s="310">
        <f t="shared" si="72"/>
        <v>-0.35941988084387688</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899999999999999" customHeight="1" outlineLevel="1" x14ac:dyDescent="0.25">
      <c r="B173" s="317" t="s">
        <v>678</v>
      </c>
      <c r="C173" s="310">
        <f>C168+C171</f>
        <v>40.171251929347434</v>
      </c>
      <c r="D173" s="310">
        <f t="shared" ref="D173:BC173" si="74">D168+D171</f>
        <v>88.24564547114494</v>
      </c>
      <c r="E173" s="310">
        <f t="shared" si="74"/>
        <v>143.76795233755155</v>
      </c>
      <c r="F173" s="310">
        <f t="shared" si="74"/>
        <v>136.57955472067397</v>
      </c>
      <c r="G173" s="310">
        <f t="shared" si="74"/>
        <v>129.39115710379639</v>
      </c>
      <c r="H173" s="310">
        <f t="shared" si="74"/>
        <v>122.20275948691881</v>
      </c>
      <c r="I173" s="310">
        <f t="shared" si="74"/>
        <v>115.01436187004123</v>
      </c>
      <c r="J173" s="310">
        <f t="shared" si="74"/>
        <v>107.82596425316365</v>
      </c>
      <c r="K173" s="310">
        <f t="shared" si="74"/>
        <v>100.63756663628607</v>
      </c>
      <c r="L173" s="310">
        <f t="shared" si="74"/>
        <v>93.449169019408487</v>
      </c>
      <c r="M173" s="310">
        <f t="shared" si="74"/>
        <v>86.260771402530906</v>
      </c>
      <c r="N173" s="310">
        <f t="shared" si="74"/>
        <v>79.072373785653326</v>
      </c>
      <c r="O173" s="310">
        <f t="shared" si="74"/>
        <v>71.883976168775746</v>
      </c>
      <c r="P173" s="310">
        <f t="shared" si="74"/>
        <v>64.695578551898166</v>
      </c>
      <c r="Q173" s="310">
        <f t="shared" si="74"/>
        <v>57.507180935020585</v>
      </c>
      <c r="R173" s="310">
        <f t="shared" si="74"/>
        <v>50.318783318143005</v>
      </c>
      <c r="S173" s="310">
        <f t="shared" si="74"/>
        <v>43.130385701265425</v>
      </c>
      <c r="T173" s="310">
        <f t="shared" si="74"/>
        <v>35.941988084387845</v>
      </c>
      <c r="U173" s="310">
        <f t="shared" si="74"/>
        <v>28.753590467510268</v>
      </c>
      <c r="V173" s="310">
        <f t="shared" si="74"/>
        <v>21.565192850632691</v>
      </c>
      <c r="W173" s="310">
        <f t="shared" si="74"/>
        <v>14.376795233755114</v>
      </c>
      <c r="X173" s="310">
        <f t="shared" si="74"/>
        <v>7.1883976168775368</v>
      </c>
      <c r="Y173" s="310">
        <f t="shared" si="74"/>
        <v>-4.0856207306205761E-14</v>
      </c>
      <c r="Z173" s="310">
        <f t="shared" si="74"/>
        <v>-4.0856207306205761E-14</v>
      </c>
      <c r="AA173" s="310">
        <f t="shared" si="74"/>
        <v>-4.0856207306205761E-14</v>
      </c>
      <c r="AB173" s="310">
        <f t="shared" si="74"/>
        <v>-4.0856207306205761E-14</v>
      </c>
      <c r="AC173" s="310">
        <f t="shared" si="74"/>
        <v>-4.0856207306205761E-14</v>
      </c>
      <c r="AD173" s="310">
        <f t="shared" si="74"/>
        <v>-4.0856207306205761E-14</v>
      </c>
      <c r="AE173" s="310">
        <f t="shared" si="74"/>
        <v>-4.0856207306205761E-14</v>
      </c>
      <c r="AF173" s="310">
        <f t="shared" si="74"/>
        <v>-4.0856207306205761E-14</v>
      </c>
      <c r="AG173" s="310">
        <f t="shared" si="74"/>
        <v>-4.0856207306205761E-14</v>
      </c>
      <c r="AH173" s="310">
        <f t="shared" si="74"/>
        <v>-4.0856207306205761E-14</v>
      </c>
      <c r="AI173" s="310">
        <f t="shared" si="74"/>
        <v>-4.0856207306205761E-14</v>
      </c>
      <c r="AJ173" s="310">
        <f t="shared" si="74"/>
        <v>-4.0856207306205761E-14</v>
      </c>
      <c r="AK173" s="310">
        <f t="shared" si="74"/>
        <v>-4.0856207306205761E-14</v>
      </c>
      <c r="AL173" s="310">
        <f t="shared" si="74"/>
        <v>-4.0856207306205761E-14</v>
      </c>
      <c r="AM173" s="310">
        <f t="shared" si="74"/>
        <v>-4.0856207306205761E-14</v>
      </c>
      <c r="AN173" s="310">
        <f t="shared" si="74"/>
        <v>-4.0856207306205761E-14</v>
      </c>
      <c r="AO173" s="310">
        <f t="shared" si="74"/>
        <v>-4.0856207306205761E-14</v>
      </c>
      <c r="AP173" s="310">
        <f t="shared" si="74"/>
        <v>-4.0856207306205761E-14</v>
      </c>
      <c r="AQ173" s="310">
        <f t="shared" si="74"/>
        <v>-4.0856207306205761E-14</v>
      </c>
      <c r="AR173" s="310">
        <f t="shared" si="74"/>
        <v>-4.0856207306205761E-14</v>
      </c>
      <c r="AS173" s="310">
        <f t="shared" si="74"/>
        <v>-4.0856207306205761E-14</v>
      </c>
      <c r="AT173" s="310">
        <f t="shared" si="74"/>
        <v>-4.0856207306205761E-14</v>
      </c>
      <c r="AU173" s="310">
        <f t="shared" si="74"/>
        <v>-4.0856207306205761E-14</v>
      </c>
      <c r="AV173" s="310">
        <f t="shared" si="74"/>
        <v>-4.0856207306205761E-14</v>
      </c>
      <c r="AW173" s="310">
        <f t="shared" si="74"/>
        <v>-4.0856207306205761E-14</v>
      </c>
      <c r="AX173" s="310">
        <f t="shared" si="74"/>
        <v>-4.0856207306205761E-14</v>
      </c>
      <c r="AY173" s="310">
        <f t="shared" si="74"/>
        <v>-4.0856207306205761E-14</v>
      </c>
      <c r="AZ173" s="310">
        <f t="shared" si="74"/>
        <v>-4.0856207306205761E-14</v>
      </c>
      <c r="BA173" s="310">
        <f t="shared" si="74"/>
        <v>-4.0856207306205761E-14</v>
      </c>
      <c r="BB173" s="310">
        <f t="shared" si="74"/>
        <v>-4.0856207306205761E-14</v>
      </c>
      <c r="BC173" s="310">
        <f t="shared" si="74"/>
        <v>-4.0856207306205761E-14</v>
      </c>
    </row>
    <row r="174" spans="1:58" s="309" customFormat="1" ht="16.899999999999999" customHeight="1" outlineLevel="1" x14ac:dyDescent="0.25">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899999999999999" customHeight="1" outlineLevel="1" x14ac:dyDescent="0.25">
      <c r="B175" s="309" t="s">
        <v>470</v>
      </c>
      <c r="C175" s="310">
        <f>C156+C167+C171+C172-C148+C35*$H$29*(1-0.0925-$C$10)/1000000+C149</f>
        <v>12.258726463285484</v>
      </c>
      <c r="D175" s="310">
        <f t="shared" ref="D175:BC175" si="75">D156+D167+D171+D172-D148+D35*$H$29*(1-0.0925-$C$10)/1000000+D149</f>
        <v>7.2812953648225305</v>
      </c>
      <c r="E175" s="310">
        <f t="shared" si="75"/>
        <v>2.1559137154062453</v>
      </c>
      <c r="F175" s="310">
        <f t="shared" si="75"/>
        <v>-9.9685831382986478</v>
      </c>
      <c r="G175" s="310">
        <f t="shared" si="75"/>
        <v>-9.500560306278695</v>
      </c>
      <c r="H175" s="310">
        <f t="shared" si="75"/>
        <v>-9.0320270403882095</v>
      </c>
      <c r="I175" s="310">
        <f t="shared" si="75"/>
        <v>-8.5629809415880178</v>
      </c>
      <c r="J175" s="310">
        <f t="shared" si="75"/>
        <v>-8.0934195995634237</v>
      </c>
      <c r="K175" s="310">
        <f t="shared" si="75"/>
        <v>-7.6233405926712701</v>
      </c>
      <c r="L175" s="310">
        <f t="shared" si="75"/>
        <v>-7.1527414878867006</v>
      </c>
      <c r="M175" s="310">
        <f t="shared" si="75"/>
        <v>-6.6816198407496081</v>
      </c>
      <c r="N175" s="310">
        <f t="shared" si="75"/>
        <v>-6.2099731953109565</v>
      </c>
      <c r="O175" s="310">
        <f t="shared" si="75"/>
        <v>-5.7377990840786826</v>
      </c>
      <c r="P175" s="310">
        <f t="shared" si="75"/>
        <v>-5.2650950279635964</v>
      </c>
      <c r="Q175" s="310">
        <f t="shared" si="75"/>
        <v>-4.7918585362247281</v>
      </c>
      <c r="R175" s="310">
        <f t="shared" si="75"/>
        <v>-4.3180871064146613</v>
      </c>
      <c r="S175" s="310">
        <f t="shared" si="75"/>
        <v>-3.8437782243244563</v>
      </c>
      <c r="T175" s="310">
        <f t="shared" si="75"/>
        <v>-3.3689293639283813</v>
      </c>
      <c r="U175" s="310">
        <f t="shared" si="75"/>
        <v>-2.8935379873284242</v>
      </c>
      <c r="V175" s="310">
        <f t="shared" si="75"/>
        <v>-2.4176015446984001</v>
      </c>
      <c r="W175" s="310">
        <f t="shared" si="75"/>
        <v>-1.9411174742279962</v>
      </c>
      <c r="X175" s="310">
        <f t="shared" si="75"/>
        <v>-1.4640832020663355</v>
      </c>
      <c r="Y175" s="310">
        <f t="shared" si="75"/>
        <v>-0.98649614226548743</v>
      </c>
      <c r="Z175" s="310">
        <f t="shared" si="75"/>
        <v>6.6800439201540325</v>
      </c>
      <c r="AA175" s="310">
        <f t="shared" si="75"/>
        <v>6.7993244809061935</v>
      </c>
      <c r="AB175" s="310">
        <f t="shared" si="75"/>
        <v>6.9191656602938698</v>
      </c>
      <c r="AC175" s="310">
        <f t="shared" si="75"/>
        <v>7.0395700932246781</v>
      </c>
      <c r="AD175" s="310">
        <f t="shared" si="75"/>
        <v>7.1605404269902682</v>
      </c>
      <c r="AE175" s="310">
        <f t="shared" si="75"/>
        <v>7.2820793213245345</v>
      </c>
      <c r="AF175" s="310">
        <f t="shared" si="75"/>
        <v>7.4041894484621951</v>
      </c>
      <c r="AG175" s="310">
        <f t="shared" si="75"/>
        <v>7.5268734931973906</v>
      </c>
      <c r="AH175" s="310">
        <f t="shared" si="75"/>
        <v>7.6501341529428455</v>
      </c>
      <c r="AI175" s="310">
        <f t="shared" si="75"/>
        <v>7.7739741377891143</v>
      </c>
      <c r="AJ175" s="310">
        <f t="shared" si="75"/>
        <v>7.8983961705641423</v>
      </c>
      <c r="AK175" s="310">
        <f t="shared" si="75"/>
        <v>8.0234029868932151</v>
      </c>
      <c r="AL175" s="310">
        <f t="shared" si="75"/>
        <v>8.1489973352590539</v>
      </c>
      <c r="AM175" s="310">
        <f t="shared" si="75"/>
        <v>8.2751819770621982</v>
      </c>
      <c r="AN175" s="310">
        <f t="shared" si="75"/>
        <v>8.4019596866818063</v>
      </c>
      <c r="AO175" s="310">
        <f t="shared" si="75"/>
        <v>8.5293332515366451</v>
      </c>
      <c r="AP175" s="310">
        <f t="shared" si="75"/>
        <v>8.6573054721462892</v>
      </c>
      <c r="AQ175" s="310">
        <f t="shared" si="75"/>
        <v>8.785879162192801</v>
      </c>
      <c r="AR175" s="310">
        <f t="shared" si="75"/>
        <v>8.9150571485825338</v>
      </c>
      <c r="AS175" s="310">
        <f t="shared" si="75"/>
        <v>9.0448422715083048</v>
      </c>
      <c r="AT175" s="310">
        <f t="shared" si="75"/>
        <v>9.1752373845118242</v>
      </c>
      <c r="AU175" s="310">
        <f t="shared" si="75"/>
        <v>9.3062453545464514</v>
      </c>
      <c r="AV175" s="310">
        <f t="shared" si="75"/>
        <v>9.4378690620402459</v>
      </c>
      <c r="AW175" s="310">
        <f t="shared" si="75"/>
        <v>9.5701114009592665</v>
      </c>
      <c r="AX175" s="310">
        <f t="shared" si="75"/>
        <v>9.7029752788711932</v>
      </c>
      <c r="AY175" s="310">
        <f t="shared" si="75"/>
        <v>9.8364636170093167</v>
      </c>
      <c r="AZ175" s="310">
        <f t="shared" si="75"/>
        <v>9.9705793503366937</v>
      </c>
      <c r="BA175" s="310">
        <f t="shared" si="75"/>
        <v>10.105325427610701</v>
      </c>
      <c r="BB175" s="310">
        <f t="shared" si="75"/>
        <v>10.240704811447902</v>
      </c>
      <c r="BC175" s="310">
        <f t="shared" si="75"/>
        <v>10.376720478389128</v>
      </c>
    </row>
    <row r="176" spans="1:58" s="309" customFormat="1" ht="16.899999999999999" customHeight="1" outlineLevel="1" x14ac:dyDescent="0.25">
      <c r="B176" s="309" t="s">
        <v>471</v>
      </c>
      <c r="C176" s="310">
        <f>C175</f>
        <v>12.258726463285484</v>
      </c>
      <c r="D176" s="310">
        <f t="shared" ref="D176:BC176" si="76">C176+D175</f>
        <v>19.540021828108014</v>
      </c>
      <c r="E176" s="310">
        <f t="shared" si="76"/>
        <v>21.69593554351426</v>
      </c>
      <c r="F176" s="310">
        <f t="shared" si="76"/>
        <v>11.727352405215612</v>
      </c>
      <c r="G176" s="310">
        <f t="shared" si="76"/>
        <v>2.226792098936917</v>
      </c>
      <c r="H176" s="310">
        <f t="shared" si="76"/>
        <v>-6.8052349414512925</v>
      </c>
      <c r="I176" s="310">
        <f t="shared" si="76"/>
        <v>-15.36821588303931</v>
      </c>
      <c r="J176" s="310">
        <f t="shared" si="76"/>
        <v>-23.461635482602734</v>
      </c>
      <c r="K176" s="310">
        <f t="shared" si="76"/>
        <v>-31.084976075274003</v>
      </c>
      <c r="L176" s="310">
        <f t="shared" si="76"/>
        <v>-38.2377175631607</v>
      </c>
      <c r="M176" s="310">
        <f t="shared" si="76"/>
        <v>-44.919337403910305</v>
      </c>
      <c r="N176" s="310">
        <f t="shared" si="76"/>
        <v>-51.129310599221263</v>
      </c>
      <c r="O176" s="310">
        <f t="shared" si="76"/>
        <v>-56.867109683299944</v>
      </c>
      <c r="P176" s="310">
        <f t="shared" si="76"/>
        <v>-62.13220471126354</v>
      </c>
      <c r="Q176" s="310">
        <f t="shared" si="76"/>
        <v>-66.924063247488263</v>
      </c>
      <c r="R176" s="310">
        <f t="shared" si="76"/>
        <v>-71.242150353902929</v>
      </c>
      <c r="S176" s="310">
        <f t="shared" si="76"/>
        <v>-75.085928578227382</v>
      </c>
      <c r="T176" s="310">
        <f t="shared" si="76"/>
        <v>-78.454857942155769</v>
      </c>
      <c r="U176" s="310">
        <f t="shared" si="76"/>
        <v>-81.348395929484198</v>
      </c>
      <c r="V176" s="310">
        <f t="shared" si="76"/>
        <v>-83.765997474182598</v>
      </c>
      <c r="W176" s="310">
        <f t="shared" si="76"/>
        <v>-85.707114948410592</v>
      </c>
      <c r="X176" s="310">
        <f t="shared" si="76"/>
        <v>-87.171198150476926</v>
      </c>
      <c r="Y176" s="310">
        <f t="shared" si="76"/>
        <v>-88.15769429274242</v>
      </c>
      <c r="Z176" s="310">
        <f t="shared" si="76"/>
        <v>-81.477650372588386</v>
      </c>
      <c r="AA176" s="310">
        <f t="shared" si="76"/>
        <v>-74.678325891682192</v>
      </c>
      <c r="AB176" s="310">
        <f t="shared" si="76"/>
        <v>-67.759160231388321</v>
      </c>
      <c r="AC176" s="310">
        <f t="shared" si="76"/>
        <v>-60.719590138163646</v>
      </c>
      <c r="AD176" s="310">
        <f t="shared" si="76"/>
        <v>-53.55904971117338</v>
      </c>
      <c r="AE176" s="310">
        <f t="shared" si="76"/>
        <v>-46.276970389848842</v>
      </c>
      <c r="AF176" s="310">
        <f t="shared" si="76"/>
        <v>-38.872780941386644</v>
      </c>
      <c r="AG176" s="310">
        <f t="shared" si="76"/>
        <v>-31.345907448189251</v>
      </c>
      <c r="AH176" s="310">
        <f t="shared" si="76"/>
        <v>-23.695773295246404</v>
      </c>
      <c r="AI176" s="310">
        <f t="shared" si="76"/>
        <v>-15.92179915745729</v>
      </c>
      <c r="AJ176" s="310">
        <f t="shared" si="76"/>
        <v>-8.0234029868931476</v>
      </c>
      <c r="AK176" s="310">
        <f t="shared" si="76"/>
        <v>6.7501559897209518E-14</v>
      </c>
      <c r="AL176" s="310">
        <f t="shared" si="76"/>
        <v>8.1489973352591214</v>
      </c>
      <c r="AM176" s="310">
        <f t="shared" si="76"/>
        <v>16.424179312321321</v>
      </c>
      <c r="AN176" s="310">
        <f t="shared" si="76"/>
        <v>24.826138999003128</v>
      </c>
      <c r="AO176" s="310">
        <f t="shared" si="76"/>
        <v>33.355472250539776</v>
      </c>
      <c r="AP176" s="310">
        <f t="shared" si="76"/>
        <v>42.012777722686067</v>
      </c>
      <c r="AQ176" s="310">
        <f t="shared" si="76"/>
        <v>50.798656884878866</v>
      </c>
      <c r="AR176" s="310">
        <f t="shared" si="76"/>
        <v>59.7137140334614</v>
      </c>
      <c r="AS176" s="310">
        <f t="shared" si="76"/>
        <v>68.758556304969702</v>
      </c>
      <c r="AT176" s="310">
        <f t="shared" si="76"/>
        <v>77.933793689481519</v>
      </c>
      <c r="AU176" s="310">
        <f t="shared" si="76"/>
        <v>87.240039044027966</v>
      </c>
      <c r="AV176" s="310">
        <f t="shared" si="76"/>
        <v>96.677908106068216</v>
      </c>
      <c r="AW176" s="310">
        <f t="shared" si="76"/>
        <v>106.24801950702748</v>
      </c>
      <c r="AX176" s="310">
        <f t="shared" si="76"/>
        <v>115.95099478589867</v>
      </c>
      <c r="AY176" s="310">
        <f t="shared" si="76"/>
        <v>125.78745840290799</v>
      </c>
      <c r="AZ176" s="310">
        <f t="shared" si="76"/>
        <v>135.75803775324468</v>
      </c>
      <c r="BA176" s="310">
        <f t="shared" si="76"/>
        <v>145.86336318085537</v>
      </c>
      <c r="BB176" s="310">
        <f t="shared" si="76"/>
        <v>156.10406799230327</v>
      </c>
      <c r="BC176" s="310">
        <f t="shared" si="76"/>
        <v>166.4807884706924</v>
      </c>
    </row>
    <row r="177" spans="2:55" s="309" customFormat="1" ht="16.899999999999999" customHeight="1" outlineLevel="1" x14ac:dyDescent="0.25">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899999999999999" customHeight="1" outlineLevel="1" x14ac:dyDescent="0.25">
      <c r="B178" s="311" t="s">
        <v>468</v>
      </c>
      <c r="C178" s="312">
        <f>NPV($D$28,C175)</f>
        <v>11.55829385563406</v>
      </c>
      <c r="D178" s="312">
        <f t="shared" ref="D178:BC178" si="77">NPV($D$28,D175)</f>
        <v>6.8652605740359522</v>
      </c>
      <c r="E178" s="312">
        <f t="shared" si="77"/>
        <v>2.0327302615559546</v>
      </c>
      <c r="F178" s="312">
        <f t="shared" si="77"/>
        <v>-9.3990035247017243</v>
      </c>
      <c r="G178" s="312">
        <f t="shared" si="77"/>
        <v>-8.9577223329046713</v>
      </c>
      <c r="H178" s="312">
        <f t="shared" si="77"/>
        <v>-8.5159598721367242</v>
      </c>
      <c r="I178" s="312">
        <f t="shared" si="77"/>
        <v>-8.0737138804337345</v>
      </c>
      <c r="J178" s="312">
        <f t="shared" si="77"/>
        <v>-7.6309820852002863</v>
      </c>
      <c r="K178" s="312">
        <f t="shared" si="77"/>
        <v>-7.187762203159787</v>
      </c>
      <c r="L178" s="312">
        <f t="shared" si="77"/>
        <v>-6.7440519403042627</v>
      </c>
      <c r="M178" s="312">
        <f t="shared" si="77"/>
        <v>-6.29984899184387</v>
      </c>
      <c r="N178" s="312">
        <f t="shared" si="77"/>
        <v>-5.8551510421562858</v>
      </c>
      <c r="O178" s="312">
        <f t="shared" si="77"/>
        <v>-5.4099557647356988</v>
      </c>
      <c r="P178" s="312">
        <f t="shared" si="77"/>
        <v>-4.964260822141803</v>
      </c>
      <c r="Q178" s="312">
        <f t="shared" si="77"/>
        <v>-4.518063865948263</v>
      </c>
      <c r="R178" s="312">
        <f t="shared" si="77"/>
        <v>-4.0713625366911765</v>
      </c>
      <c r="S178" s="312">
        <f t="shared" si="77"/>
        <v>-3.6241544638171379</v>
      </c>
      <c r="T178" s="312">
        <f t="shared" si="77"/>
        <v>-3.1764372656311344</v>
      </c>
      <c r="U178" s="312">
        <f t="shared" si="77"/>
        <v>-2.7282085492442243</v>
      </c>
      <c r="V178" s="312">
        <f t="shared" si="77"/>
        <v>-2.2794659105208375</v>
      </c>
      <c r="W178" s="312">
        <f t="shared" si="77"/>
        <v>-1.8302069340260194</v>
      </c>
      <c r="X178" s="312">
        <f t="shared" si="77"/>
        <v>-1.380429192972219</v>
      </c>
      <c r="Y178" s="312">
        <f t="shared" si="77"/>
        <v>-0.93013024916602627</v>
      </c>
      <c r="Z178" s="312">
        <f t="shared" si="77"/>
        <v>6.2983631153630331</v>
      </c>
      <c r="AA178" s="312">
        <f t="shared" si="77"/>
        <v>6.410828286730335</v>
      </c>
      <c r="AB178" s="312">
        <f t="shared" si="77"/>
        <v>6.5238220444030457</v>
      </c>
      <c r="AC178" s="312">
        <f t="shared" si="77"/>
        <v>6.6373468727368268</v>
      </c>
      <c r="AD178" s="312">
        <f t="shared" si="77"/>
        <v>6.7514052677637828</v>
      </c>
      <c r="AE178" s="312">
        <f t="shared" si="77"/>
        <v>6.8659997372473454</v>
      </c>
      <c r="AF178" s="312">
        <f t="shared" si="77"/>
        <v>6.9811328007375026</v>
      </c>
      <c r="AG178" s="312">
        <f t="shared" si="77"/>
        <v>7.0968069896260522</v>
      </c>
      <c r="AH178" s="312">
        <f t="shared" si="77"/>
        <v>7.213024847202381</v>
      </c>
      <c r="AI178" s="312">
        <f t="shared" si="77"/>
        <v>7.3297889287093287</v>
      </c>
      <c r="AJ178" s="312">
        <f t="shared" si="77"/>
        <v>7.4471018013993424</v>
      </c>
      <c r="AK178" s="312">
        <f t="shared" si="77"/>
        <v>7.5649660445910003</v>
      </c>
      <c r="AL178" s="312">
        <f t="shared" si="77"/>
        <v>7.6833842497256777</v>
      </c>
      <c r="AM178" s="312">
        <f t="shared" si="77"/>
        <v>7.8023590204244755</v>
      </c>
      <c r="AN178" s="312">
        <f t="shared" si="77"/>
        <v>7.921892972545546</v>
      </c>
      <c r="AO178" s="312">
        <f t="shared" si="77"/>
        <v>8.0419887342416043</v>
      </c>
      <c r="AP178" s="312">
        <f t="shared" si="77"/>
        <v>8.1626489460176206</v>
      </c>
      <c r="AQ178" s="312">
        <f t="shared" si="77"/>
        <v>8.283876260788988</v>
      </c>
      <c r="AR178" s="312">
        <f t="shared" si="77"/>
        <v>8.4056733439397835</v>
      </c>
      <c r="AS178" s="312">
        <f t="shared" si="77"/>
        <v>8.5280428733813931</v>
      </c>
      <c r="AT178" s="312">
        <f t="shared" si="77"/>
        <v>8.6509875396113749</v>
      </c>
      <c r="AU178" s="312">
        <f t="shared" si="77"/>
        <v>8.7745100457726295</v>
      </c>
      <c r="AV178" s="312">
        <f t="shared" si="77"/>
        <v>8.8986131077128476</v>
      </c>
      <c r="AW178" s="312">
        <f t="shared" si="77"/>
        <v>9.0232994540441886</v>
      </c>
      <c r="AX178" s="312">
        <f t="shared" si="77"/>
        <v>9.1485718262032751</v>
      </c>
      <c r="AY178" s="312">
        <f t="shared" si="77"/>
        <v>9.274432978511518</v>
      </c>
      <c r="AZ178" s="312">
        <f t="shared" si="77"/>
        <v>9.4008856782356158</v>
      </c>
      <c r="BA178" s="312">
        <f t="shared" si="77"/>
        <v>9.5279327056484071</v>
      </c>
      <c r="BB178" s="312">
        <f t="shared" si="77"/>
        <v>9.6555768540900448</v>
      </c>
      <c r="BC178" s="312">
        <f t="shared" si="77"/>
        <v>9.7838209300293499</v>
      </c>
    </row>
    <row r="179" spans="2:55" s="309" customFormat="1" ht="16.899999999999999" customHeight="1" outlineLevel="1" x14ac:dyDescent="0.25">
      <c r="B179" s="313" t="s">
        <v>469</v>
      </c>
      <c r="C179" s="312">
        <f>C178</f>
        <v>11.55829385563406</v>
      </c>
      <c r="D179" s="312">
        <f t="shared" ref="D179" si="78">C179+D178</f>
        <v>18.423554429670013</v>
      </c>
      <c r="E179" s="312">
        <f t="shared" ref="E179" si="79">D179+E178</f>
        <v>20.456284691225967</v>
      </c>
      <c r="F179" s="312">
        <f t="shared" ref="F179" si="80">E179+F178</f>
        <v>11.057281166524243</v>
      </c>
      <c r="G179" s="312">
        <f t="shared" ref="G179" si="81">F179+G178</f>
        <v>2.0995588336195716</v>
      </c>
      <c r="H179" s="312">
        <f t="shared" ref="H179" si="82">G179+H178</f>
        <v>-6.4164010385171526</v>
      </c>
      <c r="I179" s="312">
        <f t="shared" ref="I179" si="83">H179+I178</f>
        <v>-14.490114918950887</v>
      </c>
      <c r="J179" s="312">
        <f t="shared" ref="J179" si="84">I179+J178</f>
        <v>-22.121097004151174</v>
      </c>
      <c r="K179" s="312">
        <f t="shared" ref="K179" si="85">J179+K178</f>
        <v>-29.30885920731096</v>
      </c>
      <c r="L179" s="312">
        <f t="shared" ref="L179" si="86">K179+L178</f>
        <v>-36.05291114761522</v>
      </c>
      <c r="M179" s="312">
        <f t="shared" ref="M179" si="87">L179+M178</f>
        <v>-42.352760139459093</v>
      </c>
      <c r="N179" s="312">
        <f t="shared" ref="N179" si="88">M179+N178</f>
        <v>-48.20791118161538</v>
      </c>
      <c r="O179" s="312">
        <f t="shared" ref="O179" si="89">N179+O178</f>
        <v>-53.617866946351079</v>
      </c>
      <c r="P179" s="312">
        <f t="shared" ref="P179" si="90">O179+P178</f>
        <v>-58.582127768492882</v>
      </c>
      <c r="Q179" s="312">
        <f t="shared" ref="Q179" si="91">P179+Q178</f>
        <v>-63.100191634441146</v>
      </c>
      <c r="R179" s="312">
        <f t="shared" ref="R179" si="92">Q179+R178</f>
        <v>-67.171554171132328</v>
      </c>
      <c r="S179" s="312">
        <f t="shared" ref="S179" si="93">R179+S178</f>
        <v>-70.795708634949463</v>
      </c>
      <c r="T179" s="312">
        <f t="shared" ref="T179" si="94">S179+T178</f>
        <v>-73.9721459005806</v>
      </c>
      <c r="U179" s="312">
        <f t="shared" ref="U179" si="95">T179+U178</f>
        <v>-76.700354449824829</v>
      </c>
      <c r="V179" s="312">
        <f t="shared" ref="V179" si="96">U179+V178</f>
        <v>-78.97982036034567</v>
      </c>
      <c r="W179" s="312">
        <f t="shared" ref="W179" si="97">V179+W178</f>
        <v>-80.810027294371693</v>
      </c>
      <c r="X179" s="312">
        <f t="shared" ref="X179" si="98">W179+X178</f>
        <v>-82.190456487343909</v>
      </c>
      <c r="Y179" s="312">
        <f t="shared" ref="Y179" si="99">X179+Y178</f>
        <v>-83.120586736509935</v>
      </c>
      <c r="Z179" s="312">
        <f t="shared" ref="Z179" si="100">Y179+Z178</f>
        <v>-76.822223621146904</v>
      </c>
      <c r="AA179" s="312">
        <f t="shared" ref="AA179" si="101">Z179+AA178</f>
        <v>-70.411395334416568</v>
      </c>
      <c r="AB179" s="312">
        <f t="shared" ref="AB179" si="102">AA179+AB178</f>
        <v>-63.88757329001352</v>
      </c>
      <c r="AC179" s="312">
        <f t="shared" ref="AC179" si="103">AB179+AC178</f>
        <v>-57.250226417276693</v>
      </c>
      <c r="AD179" s="312">
        <f t="shared" ref="AD179" si="104">AC179+AD178</f>
        <v>-50.498821149512906</v>
      </c>
      <c r="AE179" s="312">
        <f t="shared" ref="AE179" si="105">AD179+AE178</f>
        <v>-43.632821412265564</v>
      </c>
      <c r="AF179" s="312">
        <f t="shared" ref="AF179" si="106">AE179+AF178</f>
        <v>-36.651688611528058</v>
      </c>
      <c r="AG179" s="312">
        <f t="shared" ref="AG179" si="107">AF179+AG178</f>
        <v>-29.554881621902005</v>
      </c>
      <c r="AH179" s="312">
        <f t="shared" ref="AH179" si="108">AG179+AH178</f>
        <v>-22.341856774699625</v>
      </c>
      <c r="AI179" s="312">
        <f t="shared" ref="AI179" si="109">AH179+AI178</f>
        <v>-15.012067845990297</v>
      </c>
      <c r="AJ179" s="312">
        <f t="shared" ref="AJ179" si="110">AI179+AJ178</f>
        <v>-7.5649660445909541</v>
      </c>
      <c r="AK179" s="312">
        <f t="shared" ref="AK179" si="111">AJ179+AK178</f>
        <v>4.6185277824406512E-14</v>
      </c>
      <c r="AL179" s="312">
        <f t="shared" ref="AL179" si="112">AK179+AL178</f>
        <v>7.6833842497257239</v>
      </c>
      <c r="AM179" s="312">
        <f t="shared" ref="AM179" si="113">AL179+AM178</f>
        <v>15.485743270150198</v>
      </c>
      <c r="AN179" s="312">
        <f t="shared" ref="AN179" si="114">AM179+AN178</f>
        <v>23.407636242695744</v>
      </c>
      <c r="AO179" s="312">
        <f t="shared" ref="AO179" si="115">AN179+AO178</f>
        <v>31.449624976937351</v>
      </c>
      <c r="AP179" s="312">
        <f t="shared" ref="AP179" si="116">AO179+AP178</f>
        <v>39.612273922954969</v>
      </c>
      <c r="AQ179" s="312">
        <f t="shared" ref="AQ179" si="117">AP179+AQ178</f>
        <v>47.896150183743956</v>
      </c>
      <c r="AR179" s="312">
        <f t="shared" ref="AR179" si="118">AQ179+AR178</f>
        <v>56.301823527683737</v>
      </c>
      <c r="AS179" s="312">
        <f t="shared" ref="AS179" si="119">AR179+AS178</f>
        <v>64.829866401065132</v>
      </c>
      <c r="AT179" s="312">
        <f t="shared" ref="AT179" si="120">AS179+AT178</f>
        <v>73.480853940676511</v>
      </c>
      <c r="AU179" s="312">
        <f t="shared" ref="AU179" si="121">AT179+AU178</f>
        <v>82.25536398644914</v>
      </c>
      <c r="AV179" s="312">
        <f t="shared" ref="AV179" si="122">AU179+AV178</f>
        <v>91.153977094161988</v>
      </c>
      <c r="AW179" s="312">
        <f t="shared" ref="AW179" si="123">AV179+AW178</f>
        <v>100.17727654820618</v>
      </c>
      <c r="AX179" s="312">
        <f t="shared" ref="AX179" si="124">AW179+AX178</f>
        <v>109.32584837440946</v>
      </c>
      <c r="AY179" s="312">
        <f t="shared" ref="AY179" si="125">AX179+AY178</f>
        <v>118.60028135292097</v>
      </c>
      <c r="AZ179" s="312">
        <f t="shared" ref="AZ179" si="126">AY179+AZ178</f>
        <v>128.0011670311566</v>
      </c>
      <c r="BA179" s="312">
        <f t="shared" ref="BA179" si="127">AZ179+BA178</f>
        <v>137.52909973680499</v>
      </c>
      <c r="BB179" s="312">
        <f t="shared" ref="BB179" si="128">BA179+BB178</f>
        <v>147.18467659089504</v>
      </c>
      <c r="BC179" s="312">
        <f t="shared" ref="BC179" si="129">BB179+BC178</f>
        <v>156.96849752092439</v>
      </c>
    </row>
    <row r="180" spans="2:55" s="206" customFormat="1" ht="16.899999999999999" customHeight="1" outlineLevel="1" x14ac:dyDescent="0.25">
      <c r="B180" s="206" t="s">
        <v>416</v>
      </c>
      <c r="C180" s="307">
        <f>C175/(1+$D$28)^C32</f>
        <v>12.258726463285484</v>
      </c>
      <c r="D180" s="307">
        <f t="shared" ref="D180:BC180" si="130">D175/(1+$D$28)^D32</f>
        <v>6.8652605740359522</v>
      </c>
      <c r="E180" s="307">
        <f t="shared" si="130"/>
        <v>1.9165851985253202</v>
      </c>
      <c r="F180" s="307">
        <f t="shared" si="130"/>
        <v>-8.3556178095634994</v>
      </c>
      <c r="G180" s="307">
        <f t="shared" si="130"/>
        <v>-7.5083192084123276</v>
      </c>
      <c r="H180" s="307">
        <f t="shared" si="130"/>
        <v>-6.7301867494884444</v>
      </c>
      <c r="I180" s="307">
        <f t="shared" si="130"/>
        <v>-6.016102690379074</v>
      </c>
      <c r="J180" s="307">
        <f t="shared" si="130"/>
        <v>-5.3613072557527035</v>
      </c>
      <c r="K180" s="307">
        <f t="shared" si="130"/>
        <v>-4.7613744942254455</v>
      </c>
      <c r="L180" s="307">
        <f t="shared" si="130"/>
        <v>-4.2121897225956744</v>
      </c>
      <c r="M180" s="307">
        <f t="shared" si="130"/>
        <v>-3.7099284550251044</v>
      </c>
      <c r="N180" s="307">
        <f t="shared" si="130"/>
        <v>-3.2510367212583731</v>
      </c>
      <c r="O180" s="307">
        <f t="shared" si="130"/>
        <v>-2.8322126840772111</v>
      </c>
      <c r="P180" s="307">
        <f t="shared" si="130"/>
        <v>-2.4503894719058761</v>
      </c>
      <c r="Q180" s="307">
        <f t="shared" si="130"/>
        <v>-2.1027191478441312</v>
      </c>
      <c r="R180" s="307">
        <f t="shared" si="130"/>
        <v>-1.7865577414270937</v>
      </c>
      <c r="S180" s="307">
        <f t="shared" si="130"/>
        <v>-1.4994512741166321</v>
      </c>
      <c r="T180" s="307">
        <f t="shared" si="130"/>
        <v>-1.2391227139383769</v>
      </c>
      <c r="U180" s="307">
        <f t="shared" si="130"/>
        <v>-1.0034597988090237</v>
      </c>
      <c r="V180" s="307">
        <f t="shared" si="130"/>
        <v>-0.79050367196843274</v>
      </c>
      <c r="W180" s="307">
        <f t="shared" si="130"/>
        <v>-0.59843827655650517</v>
      </c>
      <c r="X180" s="307">
        <f t="shared" si="130"/>
        <v>-0.42558045977054115</v>
      </c>
      <c r="Y180" s="307">
        <f t="shared" si="130"/>
        <v>-0.27037074022015195</v>
      </c>
      <c r="Z180" s="307">
        <f t="shared" si="130"/>
        <v>1.7262035042177797</v>
      </c>
      <c r="AA180" s="307">
        <f t="shared" si="130"/>
        <v>1.6566349541661687</v>
      </c>
      <c r="AB180" s="307">
        <f t="shared" si="130"/>
        <v>1.5895096143547303</v>
      </c>
      <c r="AC180" s="307">
        <f t="shared" si="130"/>
        <v>1.5247686189340934</v>
      </c>
      <c r="AD180" s="307">
        <f t="shared" si="130"/>
        <v>1.4623522103857525</v>
      </c>
      <c r="AE180" s="307">
        <f t="shared" si="130"/>
        <v>1.4022000147399345</v>
      </c>
      <c r="AF180" s="307">
        <f t="shared" si="130"/>
        <v>1.3442512892478438</v>
      </c>
      <c r="AG180" s="307">
        <f t="shared" si="130"/>
        <v>1.2884451447051108</v>
      </c>
      <c r="AH180" s="307">
        <f t="shared" si="130"/>
        <v>1.2347207444650896</v>
      </c>
      <c r="AI180" s="307">
        <f t="shared" si="130"/>
        <v>1.1830174820328501</v>
      </c>
      <c r="AJ180" s="307">
        <f t="shared" si="130"/>
        <v>1.1332751389933611</v>
      </c>
      <c r="AK180" s="307">
        <f t="shared" si="130"/>
        <v>1.0854340248992074</v>
      </c>
      <c r="AL180" s="307">
        <f t="shared" si="130"/>
        <v>1.039435100623834</v>
      </c>
      <c r="AM180" s="307">
        <f t="shared" si="130"/>
        <v>0.99522008657527405</v>
      </c>
      <c r="AN180" s="307">
        <f t="shared" si="130"/>
        <v>0.95273155706187507</v>
      </c>
      <c r="AO180" s="307">
        <f t="shared" si="130"/>
        <v>0.91191302200522284</v>
      </c>
      <c r="AP180" s="307">
        <f t="shared" si="130"/>
        <v>0.87270899710591476</v>
      </c>
      <c r="AQ180" s="307">
        <f t="shared" si="130"/>
        <v>0.83506506348451182</v>
      </c>
      <c r="AR180" s="307">
        <f t="shared" si="130"/>
        <v>0.79892791774241234</v>
      </c>
      <c r="AS180" s="307">
        <f t="shared" si="130"/>
        <v>0.76424541331537132</v>
      </c>
      <c r="AT180" s="307">
        <f t="shared" si="130"/>
        <v>0.73096659392534691</v>
      </c>
      <c r="AU180" s="307">
        <f t="shared" si="130"/>
        <v>0.69904171987408625</v>
      </c>
      <c r="AV180" s="307">
        <f t="shared" si="130"/>
        <v>0.66842228786400171</v>
      </c>
      <c r="AW180" s="307">
        <f t="shared" si="130"/>
        <v>0.63906104497813121</v>
      </c>
      <c r="AX180" s="307">
        <f t="shared" si="130"/>
        <v>0.61091199740108848</v>
      </c>
      <c r="AY180" s="307">
        <f t="shared" si="130"/>
        <v>0.5839304144165709</v>
      </c>
      <c r="AZ180" s="307">
        <f t="shared" si="130"/>
        <v>0.5580728281739884</v>
      </c>
      <c r="BA180" s="307">
        <f t="shared" si="130"/>
        <v>0.53329702967692549</v>
      </c>
      <c r="BB180" s="307">
        <f t="shared" si="130"/>
        <v>0.50956206140913873</v>
      </c>
      <c r="BC180" s="307">
        <f t="shared" si="130"/>
        <v>0.48682820697951085</v>
      </c>
    </row>
    <row r="181" spans="2:55" s="206" customFormat="1" ht="16.899999999999999" customHeight="1" outlineLevel="1" x14ac:dyDescent="0.25">
      <c r="B181" s="300" t="s">
        <v>417</v>
      </c>
      <c r="C181" s="307">
        <f>C180</f>
        <v>12.258726463285484</v>
      </c>
      <c r="D181" s="312">
        <f t="shared" ref="D181" si="131">C181+D180</f>
        <v>19.123987037321434</v>
      </c>
      <c r="E181" s="312">
        <f t="shared" ref="E181" si="132">D181+E180</f>
        <v>21.040572235846753</v>
      </c>
      <c r="F181" s="312">
        <f t="shared" ref="F181" si="133">E181+F180</f>
        <v>12.684954426283253</v>
      </c>
      <c r="G181" s="312">
        <f t="shared" ref="G181" si="134">F181+G180</f>
        <v>5.1766352178709258</v>
      </c>
      <c r="H181" s="312">
        <f t="shared" ref="H181" si="135">G181+H180</f>
        <v>-1.5535515316175186</v>
      </c>
      <c r="I181" s="312">
        <f t="shared" ref="I181" si="136">H181+I180</f>
        <v>-7.5696542219965925</v>
      </c>
      <c r="J181" s="312">
        <f t="shared" ref="J181" si="137">I181+J180</f>
        <v>-12.930961477749296</v>
      </c>
      <c r="K181" s="312">
        <f t="shared" ref="K181" si="138">J181+K180</f>
        <v>-17.692335971974742</v>
      </c>
      <c r="L181" s="312">
        <f t="shared" ref="L181" si="139">K181+L180</f>
        <v>-21.904525694570417</v>
      </c>
      <c r="M181" s="312">
        <f t="shared" ref="M181" si="140">L181+M180</f>
        <v>-25.61445414959552</v>
      </c>
      <c r="N181" s="312">
        <f t="shared" ref="N181" si="141">M181+N180</f>
        <v>-28.865490870853893</v>
      </c>
      <c r="O181" s="312">
        <f t="shared" ref="O181" si="142">N181+O180</f>
        <v>-31.697703554931103</v>
      </c>
      <c r="P181" s="312">
        <f t="shared" ref="P181" si="143">O181+P180</f>
        <v>-34.148093026836982</v>
      </c>
      <c r="Q181" s="312">
        <f t="shared" ref="Q181" si="144">P181+Q180</f>
        <v>-36.250812174681116</v>
      </c>
      <c r="R181" s="312">
        <f t="shared" ref="R181" si="145">Q181+R180</f>
        <v>-38.037369916108211</v>
      </c>
      <c r="S181" s="312">
        <f t="shared" ref="S181" si="146">R181+S180</f>
        <v>-39.536821190224842</v>
      </c>
      <c r="T181" s="312">
        <f t="shared" ref="T181" si="147">S181+T180</f>
        <v>-40.775943904163221</v>
      </c>
      <c r="U181" s="312">
        <f t="shared" ref="U181" si="148">T181+U180</f>
        <v>-41.779403702972246</v>
      </c>
      <c r="V181" s="312">
        <f t="shared" ref="V181" si="149">U181+V180</f>
        <v>-42.569907374940676</v>
      </c>
      <c r="W181" s="312">
        <f t="shared" ref="W181" si="150">V181+W180</f>
        <v>-43.168345651497184</v>
      </c>
      <c r="X181" s="312">
        <f t="shared" ref="X181" si="151">W181+X180</f>
        <v>-43.593926111267727</v>
      </c>
      <c r="Y181" s="312">
        <f t="shared" ref="Y181" si="152">X181+Y180</f>
        <v>-43.864296851487879</v>
      </c>
      <c r="Z181" s="312">
        <f t="shared" ref="Z181" si="153">Y181+Z180</f>
        <v>-42.1380933472701</v>
      </c>
      <c r="AA181" s="312">
        <f t="shared" ref="AA181" si="154">Z181+AA180</f>
        <v>-40.481458393103935</v>
      </c>
      <c r="AB181" s="312">
        <f t="shared" ref="AB181" si="155">AA181+AB180</f>
        <v>-38.891948778749203</v>
      </c>
      <c r="AC181" s="312">
        <f t="shared" ref="AC181" si="156">AB181+AC180</f>
        <v>-37.367180159815106</v>
      </c>
      <c r="AD181" s="312">
        <f t="shared" ref="AD181" si="157">AC181+AD180</f>
        <v>-35.904827949429354</v>
      </c>
      <c r="AE181" s="312">
        <f t="shared" ref="AE181" si="158">AD181+AE180</f>
        <v>-34.502627934689421</v>
      </c>
      <c r="AF181" s="312">
        <f t="shared" ref="AF181" si="159">AE181+AF180</f>
        <v>-33.158376645441578</v>
      </c>
      <c r="AG181" s="312">
        <f t="shared" ref="AG181" si="160">AF181+AG180</f>
        <v>-31.869931500736467</v>
      </c>
      <c r="AH181" s="312">
        <f t="shared" ref="AH181" si="161">AG181+AH180</f>
        <v>-30.635210756271377</v>
      </c>
      <c r="AI181" s="312">
        <f t="shared" ref="AI181" si="162">AH181+AI180</f>
        <v>-29.452193274238528</v>
      </c>
      <c r="AJ181" s="312">
        <f t="shared" ref="AJ181" si="163">AI181+AJ180</f>
        <v>-28.318918135245166</v>
      </c>
      <c r="AK181" s="312">
        <f t="shared" ref="AK181" si="164">AJ181+AK180</f>
        <v>-27.233484110345959</v>
      </c>
      <c r="AL181" s="312">
        <f t="shared" ref="AL181" si="165">AK181+AL180</f>
        <v>-26.194049009722125</v>
      </c>
      <c r="AM181" s="312">
        <f t="shared" ref="AM181" si="166">AL181+AM180</f>
        <v>-25.198828923146852</v>
      </c>
      <c r="AN181" s="312">
        <f t="shared" ref="AN181" si="167">AM181+AN180</f>
        <v>-24.246097366084978</v>
      </c>
      <c r="AO181" s="312">
        <f t="shared" ref="AO181" si="168">AN181+AO180</f>
        <v>-23.334184344079755</v>
      </c>
      <c r="AP181" s="312">
        <f t="shared" ref="AP181" si="169">AO181+AP180</f>
        <v>-22.461475346973842</v>
      </c>
      <c r="AQ181" s="312">
        <f t="shared" ref="AQ181" si="170">AP181+AQ180</f>
        <v>-21.626410283489331</v>
      </c>
      <c r="AR181" s="312">
        <f t="shared" ref="AR181" si="171">AQ181+AR180</f>
        <v>-20.827482365746921</v>
      </c>
      <c r="AS181" s="312">
        <f t="shared" ref="AS181" si="172">AR181+AS180</f>
        <v>-20.063236952431549</v>
      </c>
      <c r="AT181" s="312">
        <f t="shared" ref="AT181" si="173">AS181+AT180</f>
        <v>-19.3322703585062</v>
      </c>
      <c r="AU181" s="312">
        <f t="shared" ref="AU181" si="174">AT181+AU180</f>
        <v>-18.633228638632115</v>
      </c>
      <c r="AV181" s="312">
        <f t="shared" ref="AV181" si="175">AU181+AV180</f>
        <v>-17.964806350768114</v>
      </c>
      <c r="AW181" s="312">
        <f t="shared" ref="AW181" si="176">AV181+AW180</f>
        <v>-17.325745305789983</v>
      </c>
      <c r="AX181" s="312">
        <f t="shared" ref="AX181" si="177">AW181+AX180</f>
        <v>-16.714833308388894</v>
      </c>
      <c r="AY181" s="312">
        <f t="shared" ref="AY181" si="178">AX181+AY180</f>
        <v>-16.130902893972323</v>
      </c>
      <c r="AZ181" s="312">
        <f t="shared" ref="AZ181" si="179">AY181+AZ180</f>
        <v>-15.572830065798334</v>
      </c>
      <c r="BA181" s="312">
        <f t="shared" ref="BA181" si="180">AZ181+BA180</f>
        <v>-15.039533036121409</v>
      </c>
      <c r="BB181" s="312">
        <f t="shared" ref="BB181" si="181">BA181+BB180</f>
        <v>-14.529970974712271</v>
      </c>
      <c r="BC181" s="312">
        <f t="shared" ref="BC181" si="182">BB181+BC180</f>
        <v>-14.04314276773276</v>
      </c>
    </row>
    <row r="182" spans="2:55" s="206" customFormat="1" ht="16.899999999999999" customHeight="1" outlineLevel="1" x14ac:dyDescent="0.25">
      <c r="B182" s="300" t="s">
        <v>418</v>
      </c>
      <c r="C182" s="307">
        <f t="shared" ref="C182:AH182" si="183">C167/(1+$C$28)^C32</f>
        <v>40.171251929347434</v>
      </c>
      <c r="D182" s="307">
        <f t="shared" si="183"/>
        <v>43.807539221612458</v>
      </c>
      <c r="E182" s="307">
        <f t="shared" si="183"/>
        <v>46.103892121513169</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899999999999999" customHeight="1" outlineLevel="1" x14ac:dyDescent="0.25">
      <c r="B183" s="300" t="s">
        <v>419</v>
      </c>
      <c r="C183" s="1723">
        <f t="shared" ref="C183:L183" si="185">IF(C$32&lt;=3,1,IF(C176&lt;0,1,IF(B183=1,1-(C176/C175),0)))</f>
        <v>1</v>
      </c>
      <c r="D183" s="1723">
        <f t="shared" si="185"/>
        <v>1</v>
      </c>
      <c r="E183" s="1723">
        <f t="shared" si="185"/>
        <v>1</v>
      </c>
      <c r="F183" s="1723">
        <f t="shared" si="185"/>
        <v>1</v>
      </c>
      <c r="G183" s="1723">
        <f t="shared" si="185"/>
        <v>1.2343853443533517</v>
      </c>
      <c r="H183" s="1723">
        <f t="shared" si="185"/>
        <v>1</v>
      </c>
      <c r="I183" s="1723">
        <f t="shared" si="185"/>
        <v>1</v>
      </c>
      <c r="J183" s="1723">
        <f t="shared" si="185"/>
        <v>1</v>
      </c>
      <c r="K183" s="1723">
        <f t="shared" si="185"/>
        <v>1</v>
      </c>
      <c r="L183" s="1723">
        <f t="shared" si="185"/>
        <v>1</v>
      </c>
      <c r="M183" s="322">
        <f t="shared" ref="M183:BC183" si="186">IF(M$32&lt;=3,0,IF(M176&lt;0,1,IF(L183=1,1-(M176/M175),0)))</f>
        <v>1</v>
      </c>
      <c r="N183" s="322">
        <f t="shared" si="186"/>
        <v>1</v>
      </c>
      <c r="O183" s="322">
        <f t="shared" si="186"/>
        <v>1</v>
      </c>
      <c r="P183" s="322">
        <f t="shared" si="186"/>
        <v>1</v>
      </c>
      <c r="Q183" s="322">
        <f t="shared" si="186"/>
        <v>1</v>
      </c>
      <c r="R183" s="322">
        <f t="shared" si="186"/>
        <v>1</v>
      </c>
      <c r="S183" s="322">
        <f t="shared" si="186"/>
        <v>1</v>
      </c>
      <c r="T183" s="322">
        <f t="shared" si="186"/>
        <v>1</v>
      </c>
      <c r="U183" s="322">
        <f t="shared" si="186"/>
        <v>1</v>
      </c>
      <c r="V183" s="322">
        <f t="shared" si="186"/>
        <v>1</v>
      </c>
      <c r="W183" s="322">
        <f t="shared" si="186"/>
        <v>1</v>
      </c>
      <c r="X183" s="322">
        <f t="shared" si="186"/>
        <v>1</v>
      </c>
      <c r="Y183" s="322">
        <f t="shared" si="186"/>
        <v>1</v>
      </c>
      <c r="Z183" s="322">
        <f t="shared" si="186"/>
        <v>1</v>
      </c>
      <c r="AA183" s="322">
        <f t="shared" si="186"/>
        <v>1</v>
      </c>
      <c r="AB183" s="322">
        <f t="shared" si="186"/>
        <v>1</v>
      </c>
      <c r="AC183" s="322">
        <f t="shared" si="186"/>
        <v>1</v>
      </c>
      <c r="AD183" s="322">
        <f t="shared" si="186"/>
        <v>1</v>
      </c>
      <c r="AE183" s="322">
        <f t="shared" si="186"/>
        <v>1</v>
      </c>
      <c r="AF183" s="322">
        <f t="shared" si="186"/>
        <v>1</v>
      </c>
      <c r="AG183" s="322">
        <f t="shared" si="186"/>
        <v>1</v>
      </c>
      <c r="AH183" s="322">
        <f t="shared" si="186"/>
        <v>1</v>
      </c>
      <c r="AI183" s="322">
        <f t="shared" si="186"/>
        <v>1</v>
      </c>
      <c r="AJ183" s="322">
        <f t="shared" si="186"/>
        <v>1</v>
      </c>
      <c r="AK183" s="322">
        <f t="shared" si="186"/>
        <v>0.99999999999999156</v>
      </c>
      <c r="AL183" s="322">
        <f t="shared" si="186"/>
        <v>0</v>
      </c>
      <c r="AM183" s="322">
        <f t="shared" si="186"/>
        <v>0</v>
      </c>
      <c r="AN183" s="322">
        <f t="shared" si="186"/>
        <v>0</v>
      </c>
      <c r="AO183" s="322">
        <f t="shared" si="186"/>
        <v>0</v>
      </c>
      <c r="AP183" s="322">
        <f t="shared" si="186"/>
        <v>0</v>
      </c>
      <c r="AQ183" s="322">
        <f t="shared" si="186"/>
        <v>0</v>
      </c>
      <c r="AR183" s="322">
        <f t="shared" si="186"/>
        <v>0</v>
      </c>
      <c r="AS183" s="322">
        <f t="shared" si="186"/>
        <v>0</v>
      </c>
      <c r="AT183" s="322">
        <f t="shared" si="186"/>
        <v>0</v>
      </c>
      <c r="AU183" s="322">
        <f t="shared" si="186"/>
        <v>0</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899999999999999" customHeight="1" outlineLevel="1" x14ac:dyDescent="0.25">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f>IF(AK31=1,IRR($C175:AK175),"-")</f>
        <v>0.26309959438654507</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25">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25">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25">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25">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25">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25">
      <c r="R190" s="66"/>
    </row>
    <row r="191" spans="2:55" ht="14.25" customHeight="1" x14ac:dyDescent="0.25">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25">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25">
      <c r="R193" s="66"/>
    </row>
    <row r="194" spans="18:18" ht="14.25" customHeight="1" x14ac:dyDescent="0.25">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5546875" defaultRowHeight="15" outlineLevelRow="1" x14ac:dyDescent="0.25"/>
  <cols>
    <col min="1" max="1" width="6.5703125" style="383" customWidth="1"/>
    <col min="2" max="2" width="85.7109375" style="1715" customWidth="1"/>
    <col min="3" max="3" width="13.7109375" style="38" bestFit="1" customWidth="1"/>
    <col min="4" max="8" width="14.7109375" style="1727" customWidth="1"/>
    <col min="9" max="14" width="10.7109375" style="1727" customWidth="1"/>
    <col min="15" max="17" width="10.7109375" style="1778" customWidth="1"/>
    <col min="18" max="34" width="10.7109375" style="1727" customWidth="1"/>
    <col min="35" max="35" width="10.7109375" style="383" customWidth="1"/>
    <col min="36" max="60" width="10.7109375" style="1727" customWidth="1"/>
    <col min="61" max="16384" width="8.85546875" style="1727"/>
  </cols>
  <sheetData>
    <row r="1" spans="1:60" ht="15.75" thickBot="1" x14ac:dyDescent="0.3">
      <c r="D1" s="1789"/>
      <c r="E1" s="1789"/>
      <c r="F1" s="1789"/>
      <c r="G1" s="1789"/>
      <c r="H1" s="1789"/>
    </row>
    <row r="2" spans="1:60" s="1783" customFormat="1" ht="22.5" thickTop="1" thickBot="1" x14ac:dyDescent="0.3">
      <c r="A2" s="383"/>
      <c r="B2" s="1903" t="s">
        <v>1093</v>
      </c>
      <c r="C2" s="2375" t="str">
        <f>'R&amp;C-Painel de Controle'!G2</f>
        <v>CIRSOP - Consórcio RSU Oeste Paulista</v>
      </c>
      <c r="D2" s="2376"/>
      <c r="E2" s="2376"/>
      <c r="F2" s="2376"/>
      <c r="G2" s="2376"/>
      <c r="H2" s="2377"/>
      <c r="I2" s="1192"/>
      <c r="AI2" s="383"/>
    </row>
    <row r="3" spans="1:60" s="1783" customFormat="1" ht="4.9000000000000004" customHeight="1" thickTop="1" thickBot="1" x14ac:dyDescent="0.3">
      <c r="A3" s="383"/>
      <c r="B3" s="1715"/>
      <c r="C3" s="38"/>
      <c r="AI3" s="383"/>
    </row>
    <row r="4" spans="1:60" ht="19.5" thickTop="1" x14ac:dyDescent="0.25">
      <c r="B4" s="1889" t="str">
        <f>B104</f>
        <v>Quant. RSU (Ano 1)</v>
      </c>
      <c r="C4" s="1890">
        <f>C104</f>
        <v>467.94871794871796</v>
      </c>
      <c r="D4" s="1891" t="str">
        <f>D104</f>
        <v>t/d</v>
      </c>
      <c r="E4" s="1892"/>
      <c r="F4" s="1892"/>
      <c r="G4" s="1892"/>
      <c r="H4" s="1893"/>
      <c r="I4" s="1192"/>
    </row>
    <row r="5" spans="1:60" ht="19.899999999999999" customHeight="1" x14ac:dyDescent="0.25">
      <c r="B5" s="1894" t="s">
        <v>1119</v>
      </c>
      <c r="C5" s="1895">
        <f>'R&amp;C-Painel de Controle'!D33</f>
        <v>237.54494967426146</v>
      </c>
      <c r="D5" s="1896" t="s">
        <v>342</v>
      </c>
      <c r="E5" s="1897"/>
      <c r="F5" s="1897"/>
      <c r="G5" s="1897"/>
      <c r="H5" s="1898"/>
      <c r="I5" s="1192"/>
    </row>
    <row r="6" spans="1:60" s="1998" customFormat="1" ht="19.899999999999999" customHeight="1" x14ac:dyDescent="0.25">
      <c r="A6" s="383"/>
      <c r="B6" s="1894" t="s">
        <v>1120</v>
      </c>
      <c r="C6" s="1895">
        <f>'R&amp;C-Painel de Controle'!H33</f>
        <v>254.60848243040007</v>
      </c>
      <c r="D6" s="1896" t="s">
        <v>342</v>
      </c>
      <c r="E6" s="1897"/>
      <c r="F6" s="1897"/>
      <c r="G6" s="1897"/>
      <c r="H6" s="1898"/>
      <c r="I6" s="1192"/>
      <c r="AI6" s="383"/>
    </row>
    <row r="7" spans="1:60" s="1783" customFormat="1" ht="18.75" x14ac:dyDescent="0.25">
      <c r="A7" s="383"/>
      <c r="B7" s="1894" t="s">
        <v>1066</v>
      </c>
      <c r="C7" s="1895">
        <f>'R&amp;C-Painel de Controle'!D32</f>
        <v>35</v>
      </c>
      <c r="D7" s="1896" t="s">
        <v>309</v>
      </c>
      <c r="E7" s="1897"/>
      <c r="F7" s="1897"/>
      <c r="G7" s="1897"/>
      <c r="H7" s="1898"/>
      <c r="I7" s="1192"/>
      <c r="AI7" s="383"/>
    </row>
    <row r="8" spans="1:60" s="1783" customFormat="1" ht="19.5" thickBot="1" x14ac:dyDescent="0.3">
      <c r="A8" s="383"/>
      <c r="B8" s="1899" t="s">
        <v>1024</v>
      </c>
      <c r="C8" s="1904">
        <f>'C-FCL Real'!C28</f>
        <v>9.74E-2</v>
      </c>
      <c r="D8" s="1900" t="s">
        <v>195</v>
      </c>
      <c r="E8" s="1901"/>
      <c r="F8" s="1901"/>
      <c r="G8" s="1901"/>
      <c r="H8" s="1902"/>
      <c r="I8" s="1192"/>
      <c r="AI8" s="383"/>
    </row>
    <row r="9" spans="1:60" s="1783" customFormat="1" ht="4.9000000000000004" customHeight="1" thickTop="1" thickBot="1" x14ac:dyDescent="0.3">
      <c r="A9" s="383"/>
      <c r="B9" s="1715"/>
      <c r="C9" s="38"/>
      <c r="AI9" s="383"/>
    </row>
    <row r="10" spans="1:60" s="1079" customFormat="1" ht="19.899999999999999" customHeight="1" thickTop="1" x14ac:dyDescent="0.25">
      <c r="A10" s="1734"/>
      <c r="B10" s="2378" t="s">
        <v>1092</v>
      </c>
      <c r="C10" s="2379"/>
      <c r="D10" s="2382" t="s">
        <v>1087</v>
      </c>
      <c r="E10" s="2383"/>
      <c r="F10" s="2383"/>
      <c r="G10" s="2383"/>
      <c r="H10" s="2384"/>
      <c r="J10" s="1842" t="s">
        <v>1089</v>
      </c>
      <c r="K10" s="1842" t="s">
        <v>1087</v>
      </c>
      <c r="L10" s="1842" t="s">
        <v>1090</v>
      </c>
      <c r="M10" s="1842" t="s">
        <v>1088</v>
      </c>
      <c r="AI10" s="1734"/>
    </row>
    <row r="11" spans="1:60" s="1079" customFormat="1" ht="19.899999999999999" customHeight="1" thickBot="1" x14ac:dyDescent="0.3">
      <c r="A11" s="1734"/>
      <c r="B11" s="2380"/>
      <c r="C11" s="2381"/>
      <c r="D11" s="2385"/>
      <c r="E11" s="2386"/>
      <c r="F11" s="2386"/>
      <c r="G11" s="2386"/>
      <c r="H11" s="2387"/>
      <c r="AI11" s="1734"/>
    </row>
    <row r="12" spans="1:60" ht="4.9000000000000004" customHeight="1" thickTop="1" thickBot="1" x14ac:dyDescent="0.3"/>
    <row r="13" spans="1:60" s="42" customFormat="1" ht="25.15" customHeight="1" collapsed="1" thickTop="1" thickBot="1" x14ac:dyDescent="0.3">
      <c r="A13" s="1740"/>
      <c r="B13" s="2392" t="s">
        <v>1084</v>
      </c>
      <c r="C13" s="2393"/>
      <c r="D13" s="2393"/>
      <c r="E13" s="2393"/>
      <c r="F13" s="2393"/>
      <c r="G13" s="2393"/>
      <c r="H13" s="2394"/>
      <c r="I13" s="1783"/>
      <c r="J13" s="1783"/>
      <c r="AI13" s="1740"/>
    </row>
    <row r="14" spans="1:60" s="860" customFormat="1" ht="15" hidden="1" customHeight="1" outlineLevel="1" thickTop="1" x14ac:dyDescent="0.25">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hidden="1" customHeight="1" outlineLevel="1" x14ac:dyDescent="0.25">
      <c r="A15" s="2374"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hidden="1" customHeight="1" outlineLevel="1" x14ac:dyDescent="0.25">
      <c r="A16" s="2374"/>
      <c r="B16" s="1792" t="str">
        <f>'C-FCL Real'!B35</f>
        <v>Dados Quantitativos RSU</v>
      </c>
      <c r="C16" s="1807">
        <f>SUMIF($D$15:$BG$15,1,D16:BG16)</f>
        <v>5494444.691661492</v>
      </c>
      <c r="D16" s="1802">
        <f>'C-FCL Real'!C35</f>
        <v>146000</v>
      </c>
      <c r="E16" s="1787">
        <f>'C-FCL Real'!D35</f>
        <v>146686.19999999998</v>
      </c>
      <c r="F16" s="1787">
        <f>'C-FCL Real'!E35</f>
        <v>147375.62513999996</v>
      </c>
      <c r="G16" s="1787">
        <f>'C-FCL Real'!F35</f>
        <v>148068.29057815796</v>
      </c>
      <c r="H16" s="1787">
        <f>'C-FCL Real'!G35</f>
        <v>148764.21154387528</v>
      </c>
      <c r="I16" s="1787">
        <f>'C-FCL Real'!H35</f>
        <v>149463.40333813149</v>
      </c>
      <c r="J16" s="1787">
        <f>'C-FCL Real'!I35</f>
        <v>150165.8813338207</v>
      </c>
      <c r="K16" s="1787">
        <f>'C-FCL Real'!J35</f>
        <v>150871.66097608965</v>
      </c>
      <c r="L16" s="1787">
        <f>'C-FCL Real'!K35</f>
        <v>151580.75778267728</v>
      </c>
      <c r="M16" s="1787">
        <f>'C-FCL Real'!L35</f>
        <v>152293.18734425586</v>
      </c>
      <c r="N16" s="1787">
        <f>'C-FCL Real'!M35</f>
        <v>153008.96532477386</v>
      </c>
      <c r="O16" s="1787">
        <f>'C-FCL Real'!N35</f>
        <v>153728.10746180027</v>
      </c>
      <c r="P16" s="1787">
        <f>'C-FCL Real'!O35</f>
        <v>154450.62956687072</v>
      </c>
      <c r="Q16" s="1787">
        <f>'C-FCL Real'!P35</f>
        <v>155176.54752583499</v>
      </c>
      <c r="R16" s="1787">
        <f>'C-FCL Real'!Q35</f>
        <v>155905.87729920639</v>
      </c>
      <c r="S16" s="1787">
        <f>'C-FCL Real'!O35</f>
        <v>154450.62956687072</v>
      </c>
      <c r="T16" s="1787">
        <f>'C-FCL Real'!P35</f>
        <v>155176.54752583499</v>
      </c>
      <c r="U16" s="1787">
        <f>'C-FCL Real'!Q35</f>
        <v>155905.87729920639</v>
      </c>
      <c r="V16" s="1787">
        <f>'C-FCL Real'!R35</f>
        <v>156638.63492251266</v>
      </c>
      <c r="W16" s="1787">
        <f>'C-FCL Real'!S35</f>
        <v>157374.83650664845</v>
      </c>
      <c r="X16" s="1787">
        <f>'C-FCL Real'!T35</f>
        <v>158114.49823822969</v>
      </c>
      <c r="Y16" s="1787">
        <f>'C-FCL Real'!U35</f>
        <v>158857.63637994934</v>
      </c>
      <c r="Z16" s="1787">
        <f>'C-FCL Real'!V35</f>
        <v>159604.26727093509</v>
      </c>
      <c r="AA16" s="1787">
        <f>'C-FCL Real'!W35</f>
        <v>160354.40732710846</v>
      </c>
      <c r="AB16" s="1787">
        <f>'C-FCL Real'!X35</f>
        <v>161108.07304154587</v>
      </c>
      <c r="AC16" s="1787">
        <f>'C-FCL Real'!Y35</f>
        <v>161865.28098484111</v>
      </c>
      <c r="AD16" s="1787">
        <f>'C-FCL Real'!Z35</f>
        <v>162626.04780546986</v>
      </c>
      <c r="AE16" s="1787">
        <f>'C-FCL Real'!AA35</f>
        <v>163390.39023015555</v>
      </c>
      <c r="AF16" s="1787">
        <f>'C-FCL Real'!AB35</f>
        <v>164158.32506423726</v>
      </c>
      <c r="AG16" s="1787">
        <f>'C-FCL Real'!AC35</f>
        <v>164929.86919203916</v>
      </c>
      <c r="AH16" s="1787">
        <f>'C-FCL Real'!AD35</f>
        <v>165705.03957724173</v>
      </c>
      <c r="AI16" s="1787">
        <f>'C-FCL Real'!AE35</f>
        <v>166483.85326325474</v>
      </c>
      <c r="AJ16" s="1787">
        <f>'C-FCL Real'!AF35</f>
        <v>167266.32737359204</v>
      </c>
      <c r="AK16" s="1787">
        <f>'C-FCL Real'!AG35</f>
        <v>168052.47911224791</v>
      </c>
      <c r="AL16" s="1787">
        <f>'C-FCL Real'!AH35</f>
        <v>168842.32576407547</v>
      </c>
      <c r="AM16" s="1787">
        <f>'C-FCL Real'!AI35</f>
        <v>169635.88469516661</v>
      </c>
      <c r="AN16" s="1787">
        <f>'C-FCL Real'!AJ35</f>
        <v>170433.17335323387</v>
      </c>
      <c r="AO16" s="1787">
        <f>'C-FCL Real'!AK35</f>
        <v>171234.20926799407</v>
      </c>
      <c r="AP16" s="1787">
        <f>'C-FCL Real'!AL35</f>
        <v>172039.01005155363</v>
      </c>
      <c r="AQ16" s="1787">
        <f>'C-FCL Real'!AM35</f>
        <v>172847.59339879593</v>
      </c>
      <c r="AR16" s="1787">
        <f>'C-FCL Real'!AN35</f>
        <v>173659.97708777027</v>
      </c>
      <c r="AS16" s="1787">
        <f>'C-FCL Real'!AO35</f>
        <v>174476.17898008277</v>
      </c>
      <c r="AT16" s="1787">
        <f>'C-FCL Real'!AP35</f>
        <v>175296.21702128914</v>
      </c>
      <c r="AU16" s="1787">
        <f>'C-FCL Real'!AQ35</f>
        <v>176120.10924128917</v>
      </c>
      <c r="AV16" s="1787">
        <f>'C-FCL Real'!AR35</f>
        <v>176947.87375472323</v>
      </c>
      <c r="AW16" s="1787">
        <f>'C-FCL Real'!AS35</f>
        <v>177779.52876137043</v>
      </c>
      <c r="AX16" s="1787">
        <f>'C-FCL Real'!AT35</f>
        <v>178615.09254654887</v>
      </c>
      <c r="AY16" s="1787">
        <f>'C-FCL Real'!AU35</f>
        <v>179454.58348151765</v>
      </c>
      <c r="AZ16" s="1787">
        <f>'C-FCL Real'!AV35</f>
        <v>180298.02002388076</v>
      </c>
      <c r="BA16" s="1787">
        <f>'C-FCL Real'!AW35</f>
        <v>181145.42071799299</v>
      </c>
      <c r="BB16" s="1787">
        <f>'C-FCL Real'!AX35</f>
        <v>181996.80419536756</v>
      </c>
      <c r="BC16" s="1787">
        <f>'C-FCL Real'!AY35</f>
        <v>182852.18917508578</v>
      </c>
      <c r="BD16" s="1787">
        <f>'C-FCL Real'!AZ35</f>
        <v>183711.59446420867</v>
      </c>
      <c r="BE16" s="1787">
        <f>'C-FCL Real'!BA35</f>
        <v>184575.03895819045</v>
      </c>
      <c r="BF16" s="1787">
        <f>'C-FCL Real'!BB35</f>
        <v>185442.54164129394</v>
      </c>
      <c r="BG16" s="1787">
        <f>'C-FCL Real'!BC35</f>
        <v>186314.12158700801</v>
      </c>
      <c r="BH16" s="1787">
        <f>'C-FCL Real'!BD35</f>
        <v>0</v>
      </c>
    </row>
    <row r="17" spans="1:60" ht="15" hidden="1" customHeight="1" outlineLevel="1" x14ac:dyDescent="0.25">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hidden="1" customHeight="1" outlineLevel="1" x14ac:dyDescent="0.25">
      <c r="A18" s="1823">
        <f>C18*1000000/$C$16</f>
        <v>37.380081260138844</v>
      </c>
      <c r="B18" s="1794" t="str">
        <f>'C-FCL Real'!B63</f>
        <v>Dados de Capex</v>
      </c>
      <c r="C18" s="1809">
        <f>SUMIF($D$15:$BG$15,1,D18:BG18)</f>
        <v>205.38278905364507</v>
      </c>
      <c r="D18" s="1804">
        <f>'C-FCL Real'!C63</f>
        <v>57.387502756210623</v>
      </c>
      <c r="E18" s="51">
        <f>'C-FCL Real'!D63</f>
        <v>68.677705059710732</v>
      </c>
      <c r="F18" s="51">
        <f>'C-FCL Real'!E63</f>
        <v>79.317581237723729</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25">
      <c r="A19" s="1823">
        <f>C19*1000000/$C$16</f>
        <v>34.062403189483177</v>
      </c>
      <c r="B19" s="1847" t="s">
        <v>1008</v>
      </c>
      <c r="C19" s="1808">
        <f>SUMIF($D$15:$BG$15,1,D19:BG19)</f>
        <v>187.15399038968934</v>
      </c>
      <c r="D19" s="1804">
        <f t="shared" ref="D19:AJ19" si="0">NPV($C$8,D18:D18)</f>
        <v>52.294061195745059</v>
      </c>
      <c r="E19" s="51">
        <f t="shared" si="0"/>
        <v>62.5821988880178</v>
      </c>
      <c r="F19" s="51">
        <f t="shared" si="0"/>
        <v>72.277730305926497</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25">
      <c r="A20" s="1823"/>
      <c r="B20" s="1192"/>
      <c r="C20" s="1811">
        <f>C18*1000000/(C16/C43)</f>
        <v>1308.3028441048596</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25">
      <c r="A21" s="1823">
        <f>C21*1000000/$C$16</f>
        <v>167.15915263002279</v>
      </c>
      <c r="B21" s="1794" t="str">
        <f>'C-FCL Real'!B119</f>
        <v>Dados de Opex + Gestão do Contrato</v>
      </c>
      <c r="C21" s="1809">
        <f>SUMIF($D$15:$BG$15,1,D21:BG21)</f>
        <v>918.44671883066189</v>
      </c>
      <c r="D21" s="1804">
        <f>'C-FCL Real'!C119</f>
        <v>3.9460975</v>
      </c>
      <c r="E21" s="51">
        <f>'C-FCL Real'!D119</f>
        <v>3.9460975</v>
      </c>
      <c r="F21" s="51">
        <f>'C-FCL Real'!E119</f>
        <v>3.9460975</v>
      </c>
      <c r="G21" s="51">
        <f>'C-FCL Real'!F119</f>
        <v>28.331513322833175</v>
      </c>
      <c r="H21" s="51">
        <f>'C-FCL Real'!G119</f>
        <v>28.331513322833175</v>
      </c>
      <c r="I21" s="51">
        <f>'C-FCL Real'!H119</f>
        <v>28.331513322833175</v>
      </c>
      <c r="J21" s="51">
        <f>'C-FCL Real'!I119</f>
        <v>28.331513322833175</v>
      </c>
      <c r="K21" s="51">
        <f>'C-FCL Real'!J119</f>
        <v>28.331513322833175</v>
      </c>
      <c r="L21" s="51">
        <f>'C-FCL Real'!K119</f>
        <v>28.331513322833175</v>
      </c>
      <c r="M21" s="51">
        <f>'C-FCL Real'!L119</f>
        <v>28.331513322833175</v>
      </c>
      <c r="N21" s="51">
        <f>'C-FCL Real'!M119</f>
        <v>28.331513322833175</v>
      </c>
      <c r="O21" s="51">
        <f>'C-FCL Real'!N119</f>
        <v>28.331513322833175</v>
      </c>
      <c r="P21" s="51">
        <f>'C-FCL Real'!O119</f>
        <v>28.331513322833175</v>
      </c>
      <c r="Q21" s="51">
        <f>'C-FCL Real'!P119</f>
        <v>28.331513322833175</v>
      </c>
      <c r="R21" s="51">
        <f>'C-FCL Real'!Q119</f>
        <v>28.331513322833175</v>
      </c>
      <c r="S21" s="51">
        <f>'C-FCL Real'!O119</f>
        <v>28.331513322833175</v>
      </c>
      <c r="T21" s="51">
        <f>'C-FCL Real'!P119</f>
        <v>28.331513322833175</v>
      </c>
      <c r="U21" s="51">
        <f>'C-FCL Real'!Q119</f>
        <v>28.331513322833175</v>
      </c>
      <c r="V21" s="51">
        <f>'C-FCL Real'!R119</f>
        <v>28.331513322833175</v>
      </c>
      <c r="W21" s="51">
        <f>'C-FCL Real'!S119</f>
        <v>28.331513322833175</v>
      </c>
      <c r="X21" s="51">
        <f>'C-FCL Real'!T119</f>
        <v>28.331513322833175</v>
      </c>
      <c r="Y21" s="51">
        <f>'C-FCL Real'!U119</f>
        <v>28.331513322833175</v>
      </c>
      <c r="Z21" s="51">
        <f>'C-FCL Real'!V119</f>
        <v>28.331513322833175</v>
      </c>
      <c r="AA21" s="51">
        <f>'C-FCL Real'!W119</f>
        <v>28.331513322833175</v>
      </c>
      <c r="AB21" s="51">
        <f>'C-FCL Real'!X119</f>
        <v>28.331513322833175</v>
      </c>
      <c r="AC21" s="51">
        <f>'C-FCL Real'!Y119</f>
        <v>28.331513322833175</v>
      </c>
      <c r="AD21" s="51">
        <f>'C-FCL Real'!Z119</f>
        <v>28.331513322833175</v>
      </c>
      <c r="AE21" s="51">
        <f>'C-FCL Real'!AA119</f>
        <v>28.331513322833175</v>
      </c>
      <c r="AF21" s="51">
        <f>'C-FCL Real'!AB119</f>
        <v>28.331513322833175</v>
      </c>
      <c r="AG21" s="51">
        <f>'C-FCL Real'!AC119</f>
        <v>28.331513322833175</v>
      </c>
      <c r="AH21" s="51">
        <f>'C-FCL Real'!AD119</f>
        <v>28.331513322833175</v>
      </c>
      <c r="AI21" s="51">
        <f>'C-FCL Real'!AE119</f>
        <v>28.331513322833175</v>
      </c>
      <c r="AJ21" s="1739">
        <f>'C-FCL Real'!AF119</f>
        <v>28.331513322833175</v>
      </c>
      <c r="AK21" s="51">
        <f>'C-FCL Real'!AG119</f>
        <v>28.331513322833175</v>
      </c>
      <c r="AL21" s="51">
        <f>'C-FCL Real'!AH119</f>
        <v>28.331513322833175</v>
      </c>
      <c r="AM21" s="51">
        <f>'C-FCL Real'!AI119</f>
        <v>28.331513322833175</v>
      </c>
      <c r="AN21" s="51">
        <f>'C-FCL Real'!AJ119</f>
        <v>28.331513322833175</v>
      </c>
      <c r="AO21" s="51">
        <f>'C-FCL Real'!AK119</f>
        <v>28.331513322833175</v>
      </c>
      <c r="AP21" s="51">
        <f>'C-FCL Real'!AL119</f>
        <v>28.331513322833175</v>
      </c>
      <c r="AQ21" s="51">
        <f>'C-FCL Real'!AM119</f>
        <v>28.331513322833175</v>
      </c>
      <c r="AR21" s="51">
        <f>'C-FCL Real'!AN119</f>
        <v>28.331513322833175</v>
      </c>
      <c r="AS21" s="51">
        <f>'C-FCL Real'!AO119</f>
        <v>28.331513322833175</v>
      </c>
      <c r="AT21" s="51">
        <f>'C-FCL Real'!AP119</f>
        <v>28.331513322833175</v>
      </c>
      <c r="AU21" s="51">
        <f>'C-FCL Real'!AQ119</f>
        <v>28.331513322833175</v>
      </c>
      <c r="AV21" s="51">
        <f>'C-FCL Real'!AR119</f>
        <v>28.331513322833175</v>
      </c>
      <c r="AW21" s="51">
        <f>'C-FCL Real'!AS119</f>
        <v>28.331513322833175</v>
      </c>
      <c r="AX21" s="51">
        <f>'C-FCL Real'!AT119</f>
        <v>28.331513322833175</v>
      </c>
      <c r="AY21" s="51">
        <f>'C-FCL Real'!AU119</f>
        <v>28.331513322833175</v>
      </c>
      <c r="AZ21" s="51">
        <f>'C-FCL Real'!AV119</f>
        <v>28.331513322833175</v>
      </c>
      <c r="BA21" s="51">
        <f>'C-FCL Real'!AW119</f>
        <v>28.331513322833175</v>
      </c>
      <c r="BB21" s="51">
        <f>'C-FCL Real'!AX119</f>
        <v>28.331513322833175</v>
      </c>
      <c r="BC21" s="51">
        <f>'C-FCL Real'!AY119</f>
        <v>28.331513322833175</v>
      </c>
      <c r="BD21" s="51">
        <f>'C-FCL Real'!AZ119</f>
        <v>28.331513322833175</v>
      </c>
      <c r="BE21" s="51">
        <f>'C-FCL Real'!BA119</f>
        <v>28.331513322833175</v>
      </c>
      <c r="BF21" s="51">
        <f>'C-FCL Real'!BB119</f>
        <v>28.331513322833175</v>
      </c>
      <c r="BG21" s="51">
        <f>'C-FCL Real'!BC119</f>
        <v>28.331513322833175</v>
      </c>
      <c r="BH21" s="51">
        <f>'C-FCL Real'!BD119</f>
        <v>0</v>
      </c>
    </row>
    <row r="22" spans="1:60" ht="15" hidden="1" customHeight="1" outlineLevel="1" x14ac:dyDescent="0.25">
      <c r="A22" s="1823">
        <f>C22*1000000/$C$16</f>
        <v>142.92543070714424</v>
      </c>
      <c r="B22" s="1847" t="s">
        <v>1009</v>
      </c>
      <c r="C22" s="1808">
        <f>SUMIF($D$15:$BG$15,1,D22:BG22)</f>
        <v>785.2958740523012</v>
      </c>
      <c r="D22" s="1804">
        <f t="shared" ref="D22:AJ22" si="1">NPV($C$8,D21:D21)</f>
        <v>3.595860670676144</v>
      </c>
      <c r="E22" s="51">
        <f t="shared" si="1"/>
        <v>3.595860670676144</v>
      </c>
      <c r="F22" s="51">
        <f t="shared" si="1"/>
        <v>3.595860670676144</v>
      </c>
      <c r="G22" s="51">
        <f t="shared" si="1"/>
        <v>25.816943068009092</v>
      </c>
      <c r="H22" s="51">
        <f t="shared" si="1"/>
        <v>25.816943068009092</v>
      </c>
      <c r="I22" s="51">
        <f t="shared" si="1"/>
        <v>25.816943068009092</v>
      </c>
      <c r="J22" s="51">
        <f t="shared" si="1"/>
        <v>25.816943068009092</v>
      </c>
      <c r="K22" s="51">
        <f t="shared" si="1"/>
        <v>25.816943068009092</v>
      </c>
      <c r="L22" s="51">
        <f t="shared" si="1"/>
        <v>25.816943068009092</v>
      </c>
      <c r="M22" s="51">
        <f t="shared" si="1"/>
        <v>25.816943068009092</v>
      </c>
      <c r="N22" s="51">
        <f t="shared" si="1"/>
        <v>25.816943068009092</v>
      </c>
      <c r="O22" s="51">
        <f t="shared" si="1"/>
        <v>25.816943068009092</v>
      </c>
      <c r="P22" s="51">
        <f t="shared" si="1"/>
        <v>25.816943068009092</v>
      </c>
      <c r="Q22" s="51">
        <f t="shared" si="1"/>
        <v>25.816943068009092</v>
      </c>
      <c r="R22" s="51">
        <f t="shared" si="1"/>
        <v>25.816943068009092</v>
      </c>
      <c r="S22" s="51">
        <f t="shared" si="1"/>
        <v>25.816943068009092</v>
      </c>
      <c r="T22" s="51">
        <f t="shared" si="1"/>
        <v>25.816943068009092</v>
      </c>
      <c r="U22" s="51">
        <f t="shared" si="1"/>
        <v>25.816943068009092</v>
      </c>
      <c r="V22" s="51">
        <f t="shared" si="1"/>
        <v>25.816943068009092</v>
      </c>
      <c r="W22" s="51">
        <f t="shared" si="1"/>
        <v>25.816943068009092</v>
      </c>
      <c r="X22" s="51">
        <f t="shared" si="1"/>
        <v>25.816943068009092</v>
      </c>
      <c r="Y22" s="51">
        <f t="shared" si="1"/>
        <v>25.816943068009092</v>
      </c>
      <c r="Z22" s="51">
        <f t="shared" si="1"/>
        <v>25.816943068009092</v>
      </c>
      <c r="AA22" s="51">
        <f t="shared" si="1"/>
        <v>25.816943068009092</v>
      </c>
      <c r="AB22" s="51">
        <f t="shared" si="1"/>
        <v>25.816943068009092</v>
      </c>
      <c r="AC22" s="51">
        <f t="shared" si="1"/>
        <v>25.816943068009092</v>
      </c>
      <c r="AD22" s="51">
        <f t="shared" si="1"/>
        <v>25.816943068009092</v>
      </c>
      <c r="AE22" s="51">
        <f t="shared" si="1"/>
        <v>25.816943068009092</v>
      </c>
      <c r="AF22" s="51">
        <f t="shared" si="1"/>
        <v>25.816943068009092</v>
      </c>
      <c r="AG22" s="51">
        <f t="shared" si="1"/>
        <v>25.816943068009092</v>
      </c>
      <c r="AH22" s="51">
        <f t="shared" si="1"/>
        <v>25.816943068009092</v>
      </c>
      <c r="AI22" s="51">
        <f t="shared" si="1"/>
        <v>25.816943068009092</v>
      </c>
      <c r="AJ22" s="1739">
        <f t="shared" si="1"/>
        <v>25.816943068009092</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25">
      <c r="A23" s="1823"/>
      <c r="B23" s="1793"/>
      <c r="C23" s="1838">
        <f>C21*1000000/C16</f>
        <v>167.15915263002279</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25">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25">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25">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25">
      <c r="A27" s="1823">
        <f>C27*1000000/$C$16</f>
        <v>203.69479434567918</v>
      </c>
      <c r="B27" s="1794" t="str">
        <f>'C-FCL Real'!B148</f>
        <v>Dados de Receitas Diretas</v>
      </c>
      <c r="C27" s="1809">
        <f>SUMIF($D$15:$BG$15,1,D27:BG27)</f>
        <v>1119.1897815116963</v>
      </c>
      <c r="D27" s="1804">
        <f>'C-FCL Real'!C148-D30</f>
        <v>29.73943997446916</v>
      </c>
      <c r="E27" s="51">
        <f>'C-FCL Real'!D148-E30</f>
        <v>29.879215342349163</v>
      </c>
      <c r="F27" s="51">
        <f>'C-FCL Real'!E148-F30</f>
        <v>30.019647654458197</v>
      </c>
      <c r="G27" s="51">
        <f>'C-FCL Real'!F148-G30</f>
        <v>30.160739998434149</v>
      </c>
      <c r="H27" s="51">
        <f>'C-FCL Real'!G148-H30</f>
        <v>30.302495476426792</v>
      </c>
      <c r="I27" s="51">
        <f>'C-FCL Real'!H148-I30</f>
        <v>30.444917205165996</v>
      </c>
      <c r="J27" s="51">
        <f>'C-FCL Real'!I148-J30</f>
        <v>30.588008316030269</v>
      </c>
      <c r="K27" s="51">
        <f>'C-FCL Real'!J148-K30</f>
        <v>30.731771955115612</v>
      </c>
      <c r="L27" s="51">
        <f>'C-FCL Real'!K148-L30</f>
        <v>30.876211283304656</v>
      </c>
      <c r="M27" s="51">
        <f>'C-FCL Real'!L148-M30</f>
        <v>31.021329476336184</v>
      </c>
      <c r="N27" s="51">
        <f>'C-FCL Real'!M148-N30</f>
        <v>31.167129724874965</v>
      </c>
      <c r="O27" s="51">
        <f>'C-FCL Real'!N148-O30</f>
        <v>31.313615234581878</v>
      </c>
      <c r="P27" s="51">
        <f>'C-FCL Real'!O148-P30</f>
        <v>31.460789226184406</v>
      </c>
      <c r="Q27" s="51">
        <f>'C-FCL Real'!P148-Q30</f>
        <v>31.60865493554747</v>
      </c>
      <c r="R27" s="51">
        <f>'C-FCL Real'!Q148-R30</f>
        <v>31.757215613744538</v>
      </c>
      <c r="S27" s="51">
        <f>'C-FCL Real'!O148-S30</f>
        <v>31.460789226184406</v>
      </c>
      <c r="T27" s="51">
        <f>'C-FCL Real'!P148-T30</f>
        <v>31.60865493554747</v>
      </c>
      <c r="U27" s="51">
        <f>'C-FCL Real'!Q148-U30</f>
        <v>31.757215613744538</v>
      </c>
      <c r="V27" s="51">
        <f>'C-FCL Real'!R148-V30</f>
        <v>31.906474527129145</v>
      </c>
      <c r="W27" s="51">
        <f>'C-FCL Real'!S148-W30</f>
        <v>32.056434957406644</v>
      </c>
      <c r="X27" s="51">
        <f>'C-FCL Real'!T148-X30</f>
        <v>32.207100201706453</v>
      </c>
      <c r="Y27" s="51">
        <f>'C-FCL Real'!U148-Y30</f>
        <v>32.358473572654468</v>
      </c>
      <c r="Z27" s="51">
        <f>'C-FCL Real'!V148-Z30</f>
        <v>32.510558398445937</v>
      </c>
      <c r="AA27" s="51">
        <f>'C-FCL Real'!W148-AA30</f>
        <v>32.663358022918629</v>
      </c>
      <c r="AB27" s="51">
        <f>'C-FCL Real'!X148-AB30</f>
        <v>32.816875805626346</v>
      </c>
      <c r="AC27" s="51">
        <f>'C-FCL Real'!Y148-AC30</f>
        <v>32.971115121912781</v>
      </c>
      <c r="AD27" s="51">
        <f>'C-FCL Real'!Z148-AD30</f>
        <v>33.126079362985777</v>
      </c>
      <c r="AE27" s="51">
        <f>'C-FCL Real'!AA148-AE30</f>
        <v>33.281771935991799</v>
      </c>
      <c r="AF27" s="51">
        <f>'C-FCL Real'!AB148-AF30</f>
        <v>33.438196264090962</v>
      </c>
      <c r="AG27" s="51">
        <f>'C-FCL Real'!AC148-AG30</f>
        <v>33.595355786532188</v>
      </c>
      <c r="AH27" s="51">
        <f>'C-FCL Real'!AD148-AH30</f>
        <v>33.753253958728877</v>
      </c>
      <c r="AI27" s="51">
        <f>'C-FCL Real'!AE148-AI30</f>
        <v>33.911894252334911</v>
      </c>
      <c r="AJ27" s="1739">
        <f>'C-FCL Real'!AF148-AJ30</f>
        <v>34.071280155320878</v>
      </c>
      <c r="AK27" s="51">
        <f>'C-FCL Real'!AG148-AK30</f>
        <v>34.231415172050887</v>
      </c>
      <c r="AL27" s="51">
        <f>'C-FCL Real'!AH148-AL30</f>
        <v>34.392302823359529</v>
      </c>
      <c r="AM27" s="51">
        <f>'C-FCL Real'!AI148-AM30</f>
        <v>34.553946646629306</v>
      </c>
      <c r="AN27" s="51">
        <f>'C-FCL Real'!AJ148-AN30</f>
        <v>34.716350195868465</v>
      </c>
      <c r="AO27" s="51">
        <f>'C-FCL Real'!AK148-AO30</f>
        <v>34.87951704178905</v>
      </c>
      <c r="AP27" s="51">
        <f>'C-FCL Real'!AL148-AP30</f>
        <v>35.043450771885446</v>
      </c>
      <c r="AQ27" s="51">
        <f>'C-FCL Real'!AM148-AQ30</f>
        <v>35.208154990513307</v>
      </c>
      <c r="AR27" s="51">
        <f>'C-FCL Real'!AN148-AR30</f>
        <v>35.373633318968729</v>
      </c>
      <c r="AS27" s="51">
        <f>'C-FCL Real'!AO148-AS30</f>
        <v>35.539889395567876</v>
      </c>
      <c r="AT27" s="51">
        <f>'C-FCL Real'!AP148-AT30</f>
        <v>35.706926875727042</v>
      </c>
      <c r="AU27" s="51">
        <f>'C-FCL Real'!AQ148-AU30</f>
        <v>35.874749432042947</v>
      </c>
      <c r="AV27" s="51">
        <f>'C-FCL Real'!AR148-AV30</f>
        <v>36.043360754373552</v>
      </c>
      <c r="AW27" s="51">
        <f>'C-FCL Real'!AS148-AW30</f>
        <v>36.212764549919108</v>
      </c>
      <c r="AX27" s="51">
        <f>'C-FCL Real'!AT148-AX30</f>
        <v>36.382964543303729</v>
      </c>
      <c r="AY27" s="51">
        <f>'C-FCL Real'!AU148-AY30</f>
        <v>36.553964476657249</v>
      </c>
      <c r="AZ27" s="51">
        <f>'C-FCL Real'!AV148-AZ30</f>
        <v>36.725768109697533</v>
      </c>
      <c r="BA27" s="51">
        <f>'C-FCL Real'!AW148-BA30</f>
        <v>36.898379219813116</v>
      </c>
      <c r="BB27" s="51">
        <f>'C-FCL Real'!AX148-BB30</f>
        <v>37.071801602146238</v>
      </c>
      <c r="BC27" s="51">
        <f>'C-FCL Real'!AY148-BC30</f>
        <v>37.246039069676314</v>
      </c>
      <c r="BD27" s="51">
        <f>'C-FCL Real'!AZ148-BD30</f>
        <v>37.421095453303799</v>
      </c>
      <c r="BE27" s="51">
        <f>'C-FCL Real'!BA148-BE30</f>
        <v>37.596974601934328</v>
      </c>
      <c r="BF27" s="51">
        <f>'C-FCL Real'!BB148-BF30</f>
        <v>37.77368038256342</v>
      </c>
      <c r="BG27" s="51">
        <f>'C-FCL Real'!BC148-BG30</f>
        <v>37.951216680361462</v>
      </c>
      <c r="BH27" s="51">
        <f>'C-FCL Real'!BD148-BH30</f>
        <v>0</v>
      </c>
    </row>
    <row r="28" spans="1:60" ht="15" hidden="1" customHeight="1" outlineLevel="1" x14ac:dyDescent="0.25">
      <c r="A28" s="1823">
        <f>C28*1000000/$C$16</f>
        <v>174.23468148216196</v>
      </c>
      <c r="B28" s="1847" t="s">
        <v>1010</v>
      </c>
      <c r="C28" s="1808">
        <f>SUMIF($D$15:$BG$15,1,D28:BG28)</f>
        <v>957.32282077299567</v>
      </c>
      <c r="D28" s="1804">
        <f t="shared" ref="D28:AJ28" si="3">NPV($C$8,D27:D27)</f>
        <v>27.099908852259123</v>
      </c>
      <c r="E28" s="51">
        <f t="shared" si="3"/>
        <v>27.227278423864739</v>
      </c>
      <c r="F28" s="51">
        <f t="shared" si="3"/>
        <v>27.355246632456897</v>
      </c>
      <c r="G28" s="51">
        <f t="shared" si="3"/>
        <v>27.483816291629442</v>
      </c>
      <c r="H28" s="51">
        <f t="shared" si="3"/>
        <v>27.612990228200104</v>
      </c>
      <c r="I28" s="51">
        <f t="shared" si="3"/>
        <v>27.742771282272642</v>
      </c>
      <c r="J28" s="51">
        <f t="shared" si="3"/>
        <v>27.873162307299317</v>
      </c>
      <c r="K28" s="51">
        <f t="shared" si="3"/>
        <v>28.004166170143623</v>
      </c>
      <c r="L28" s="51">
        <f t="shared" si="3"/>
        <v>28.135785751143299</v>
      </c>
      <c r="M28" s="51">
        <f t="shared" si="3"/>
        <v>28.26802394417367</v>
      </c>
      <c r="N28" s="51">
        <f t="shared" si="3"/>
        <v>28.400883656711287</v>
      </c>
      <c r="O28" s="51">
        <f t="shared" si="3"/>
        <v>28.53436780989783</v>
      </c>
      <c r="P28" s="51">
        <f t="shared" si="3"/>
        <v>28.668479338604346</v>
      </c>
      <c r="Q28" s="51">
        <f t="shared" si="3"/>
        <v>28.803221191495783</v>
      </c>
      <c r="R28" s="51">
        <f t="shared" si="3"/>
        <v>28.938596331095809</v>
      </c>
      <c r="S28" s="51">
        <f t="shared" si="3"/>
        <v>28.668479338604346</v>
      </c>
      <c r="T28" s="51">
        <f t="shared" si="3"/>
        <v>28.803221191495783</v>
      </c>
      <c r="U28" s="51">
        <f t="shared" si="3"/>
        <v>28.938596331095809</v>
      </c>
      <c r="V28" s="51">
        <f t="shared" si="3"/>
        <v>29.074607733851966</v>
      </c>
      <c r="W28" s="51">
        <f t="shared" si="3"/>
        <v>29.211258390201063</v>
      </c>
      <c r="X28" s="51">
        <f t="shared" si="3"/>
        <v>29.348551304635006</v>
      </c>
      <c r="Y28" s="51">
        <f t="shared" si="3"/>
        <v>29.486489495766786</v>
      </c>
      <c r="Z28" s="51">
        <f t="shared" si="3"/>
        <v>29.625075996396884</v>
      </c>
      <c r="AA28" s="51">
        <f t="shared" si="3"/>
        <v>29.764313853579946</v>
      </c>
      <c r="AB28" s="51">
        <f t="shared" si="3"/>
        <v>29.904206128691769</v>
      </c>
      <c r="AC28" s="51">
        <f t="shared" si="3"/>
        <v>30.044755897496614</v>
      </c>
      <c r="AD28" s="51">
        <f t="shared" si="3"/>
        <v>30.185966250214854</v>
      </c>
      <c r="AE28" s="51">
        <f t="shared" si="3"/>
        <v>30.327840291590853</v>
      </c>
      <c r="AF28" s="51">
        <f t="shared" si="3"/>
        <v>30.470381140961329</v>
      </c>
      <c r="AG28" s="51">
        <f t="shared" si="3"/>
        <v>30.613591932323846</v>
      </c>
      <c r="AH28" s="51">
        <f t="shared" si="3"/>
        <v>30.757475814405758</v>
      </c>
      <c r="AI28" s="51">
        <f t="shared" si="3"/>
        <v>30.902035950733474</v>
      </c>
      <c r="AJ28" s="1739">
        <f t="shared" si="3"/>
        <v>31.047275519701913</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25">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25">
      <c r="A30" s="1823">
        <f>C30*1000000/$C$16</f>
        <v>10.584697481333817</v>
      </c>
      <c r="B30" s="1794" t="str">
        <f>'C-FCL Real'!B149</f>
        <v>Receita do Ente Público pela disposição do RPU</v>
      </c>
      <c r="C30" s="1809">
        <f>SUMIF($D$15:$BG$15,1,D30:BG30)</f>
        <v>58.157034889157352</v>
      </c>
      <c r="D30" s="1804">
        <f>'C-FCL Real'!C149</f>
        <v>1.5453658322747372</v>
      </c>
      <c r="E30" s="51">
        <f>'C-FCL Real'!D149</f>
        <v>1.5526290516864283</v>
      </c>
      <c r="F30" s="51">
        <f>'C-FCL Real'!E149</f>
        <v>1.5599264082293545</v>
      </c>
      <c r="G30" s="51">
        <f>'C-FCL Real'!F149</f>
        <v>1.5672580623480323</v>
      </c>
      <c r="H30" s="51">
        <f>'C-FCL Real'!G149</f>
        <v>1.5746241752410679</v>
      </c>
      <c r="I30" s="51">
        <f>'C-FCL Real'!H149</f>
        <v>1.5820249088647007</v>
      </c>
      <c r="J30" s="51">
        <f>'C-FCL Real'!I149</f>
        <v>1.5894604259363647</v>
      </c>
      <c r="K30" s="51">
        <f>'C-FCL Real'!J149</f>
        <v>1.5969308899382655</v>
      </c>
      <c r="L30" s="51">
        <f>'C-FCL Real'!K149</f>
        <v>1.6044364651209753</v>
      </c>
      <c r="M30" s="51">
        <f>'C-FCL Real'!L149</f>
        <v>1.6119773165070437</v>
      </c>
      <c r="N30" s="51">
        <f>'C-FCL Real'!M149</f>
        <v>1.6195536098946266</v>
      </c>
      <c r="O30" s="51">
        <f>'C-FCL Real'!N149</f>
        <v>1.6271655118611312</v>
      </c>
      <c r="P30" s="51">
        <f>'C-FCL Real'!O149</f>
        <v>1.6348131897668785</v>
      </c>
      <c r="Q30" s="51">
        <f>'C-FCL Real'!P149</f>
        <v>1.6424968117587828</v>
      </c>
      <c r="R30" s="51">
        <f>'C-FCL Real'!Q149</f>
        <v>1.6502165467740491</v>
      </c>
      <c r="S30" s="51">
        <f>'C-FCL Real'!O149</f>
        <v>1.6348131897668785</v>
      </c>
      <c r="T30" s="51">
        <f>'C-FCL Real'!P149</f>
        <v>1.6424968117587828</v>
      </c>
      <c r="U30" s="51">
        <f>'C-FCL Real'!Q149</f>
        <v>1.6502165467740491</v>
      </c>
      <c r="V30" s="51">
        <f>'C-FCL Real'!R149</f>
        <v>1.657972564543887</v>
      </c>
      <c r="W30" s="51">
        <f>'C-FCL Real'!S149</f>
        <v>1.6657650355972431</v>
      </c>
      <c r="X30" s="51">
        <f>'C-FCL Real'!T149</f>
        <v>1.6735941312645499</v>
      </c>
      <c r="Y30" s="51">
        <f>'C-FCL Real'!U149</f>
        <v>1.6814600236814932</v>
      </c>
      <c r="Z30" s="51">
        <f>'C-FCL Real'!V149</f>
        <v>1.689362885792796</v>
      </c>
      <c r="AA30" s="51">
        <f>'C-FCL Real'!W149</f>
        <v>1.697302891356022</v>
      </c>
      <c r="AB30" s="51">
        <f>'C-FCL Real'!X149</f>
        <v>1.7052802149453952</v>
      </c>
      <c r="AC30" s="51">
        <f>'C-FCL Real'!Y149</f>
        <v>1.7132950319556384</v>
      </c>
      <c r="AD30" s="51">
        <f>'C-FCL Real'!Z149</f>
        <v>1.7213475186058298</v>
      </c>
      <c r="AE30" s="51">
        <f>'C-FCL Real'!AA149</f>
        <v>1.7294378519432771</v>
      </c>
      <c r="AF30" s="51">
        <f>'C-FCL Real'!AB149</f>
        <v>1.7375662098474105</v>
      </c>
      <c r="AG30" s="51">
        <f>'C-FCL Real'!AC149</f>
        <v>1.7457327710336932</v>
      </c>
      <c r="AH30" s="51">
        <f>'C-FCL Real'!AD149</f>
        <v>1.7539377150575515</v>
      </c>
      <c r="AI30" s="51">
        <f>'C-FCL Real'!AE149</f>
        <v>1.7621812223183217</v>
      </c>
      <c r="AJ30" s="1739">
        <f>'C-FCL Real'!AF149</f>
        <v>1.7704634740632177</v>
      </c>
      <c r="AK30" s="51">
        <f>'C-FCL Real'!AG149</f>
        <v>1.7787846523913147</v>
      </c>
      <c r="AL30" s="51">
        <f>'C-FCL Real'!AH149</f>
        <v>1.7871449402575537</v>
      </c>
      <c r="AM30" s="51">
        <f>'C-FCL Real'!AI149</f>
        <v>1.795544521476764</v>
      </c>
      <c r="AN30" s="51">
        <f>'C-FCL Real'!AJ149</f>
        <v>1.8039835807277047</v>
      </c>
      <c r="AO30" s="51">
        <f>'C-FCL Real'!AK149</f>
        <v>1.8124623035571248</v>
      </c>
      <c r="AP30" s="51">
        <f>'C-FCL Real'!AL149</f>
        <v>1.8209808763838431</v>
      </c>
      <c r="AQ30" s="51">
        <f>'C-FCL Real'!AM149</f>
        <v>1.8295394865028469</v>
      </c>
      <c r="AR30" s="51">
        <f>'C-FCL Real'!AN149</f>
        <v>1.8381383220894101</v>
      </c>
      <c r="AS30" s="51">
        <f>'C-FCL Real'!AO149</f>
        <v>1.8467775722032302</v>
      </c>
      <c r="AT30" s="51">
        <f>'C-FCL Real'!AP149</f>
        <v>1.8554574267925852</v>
      </c>
      <c r="AU30" s="51">
        <f>'C-FCL Real'!AQ149</f>
        <v>1.8641780766985101</v>
      </c>
      <c r="AV30" s="51">
        <f>'C-FCL Real'!AR149</f>
        <v>1.8729397136589929</v>
      </c>
      <c r="AW30" s="51">
        <f>'C-FCL Real'!AS149</f>
        <v>1.8817425303131901</v>
      </c>
      <c r="AX30" s="51">
        <f>'C-FCL Real'!AT149</f>
        <v>1.8905867202056619</v>
      </c>
      <c r="AY30" s="51">
        <f>'C-FCL Real'!AU149</f>
        <v>1.8994724777906284</v>
      </c>
      <c r="AZ30" s="51">
        <f>'C-FCL Real'!AV149</f>
        <v>1.9083999984362443</v>
      </c>
      <c r="BA30" s="51">
        <f>'C-FCL Real'!AW149</f>
        <v>1.9173694784288946</v>
      </c>
      <c r="BB30" s="51">
        <f>'C-FCL Real'!AX149</f>
        <v>1.9263811149775103</v>
      </c>
      <c r="BC30" s="51">
        <f>'C-FCL Real'!AY149</f>
        <v>1.9354351062179045</v>
      </c>
      <c r="BD30" s="51">
        <f>'C-FCL Real'!AZ149</f>
        <v>1.9445316512171285</v>
      </c>
      <c r="BE30" s="51">
        <f>'C-FCL Real'!BA149</f>
        <v>1.9536709499778488</v>
      </c>
      <c r="BF30" s="51">
        <f>'C-FCL Real'!BB149</f>
        <v>1.9628532034427446</v>
      </c>
      <c r="BG30" s="51">
        <f>'C-FCL Real'!BC149</f>
        <v>1.9720786134989254</v>
      </c>
      <c r="BH30" s="51">
        <f>'C-FCL Real'!BD149</f>
        <v>0</v>
      </c>
    </row>
    <row r="31" spans="1:60" ht="15" hidden="1" customHeight="1" outlineLevel="1" x14ac:dyDescent="0.25">
      <c r="A31" s="1823">
        <f>C31*1000000/$C$16</f>
        <v>9.0538464675514163</v>
      </c>
      <c r="B31" s="1847" t="s">
        <v>1011</v>
      </c>
      <c r="C31" s="1808">
        <f>SUMIF($D$15:$BG$15,1,D31:BG31)</f>
        <v>49.745858662756035</v>
      </c>
      <c r="D31" s="1804">
        <f t="shared" ref="D31:AJ31" si="4">NPV($C$8,D30:D30)</f>
        <v>1.4082065174728788</v>
      </c>
      <c r="E31" s="51">
        <f t="shared" si="4"/>
        <v>1.4148250881050013</v>
      </c>
      <c r="F31" s="51">
        <f t="shared" si="4"/>
        <v>1.4214747660190947</v>
      </c>
      <c r="G31" s="51">
        <f t="shared" si="4"/>
        <v>1.4281556974193843</v>
      </c>
      <c r="H31" s="51">
        <f t="shared" si="4"/>
        <v>1.4348680291972553</v>
      </c>
      <c r="I31" s="51">
        <f t="shared" si="4"/>
        <v>1.4416119089344823</v>
      </c>
      <c r="J31" s="51">
        <f t="shared" si="4"/>
        <v>1.4483874849064742</v>
      </c>
      <c r="K31" s="51">
        <f t="shared" si="4"/>
        <v>1.4551949060855345</v>
      </c>
      <c r="L31" s="51">
        <f t="shared" si="4"/>
        <v>1.4620343221441365</v>
      </c>
      <c r="M31" s="51">
        <f t="shared" si="4"/>
        <v>1.4689058834582138</v>
      </c>
      <c r="N31" s="51">
        <f t="shared" si="4"/>
        <v>1.4758097411104671</v>
      </c>
      <c r="O31" s="51">
        <f t="shared" si="4"/>
        <v>1.4827460468936864</v>
      </c>
      <c r="P31" s="51">
        <f t="shared" si="4"/>
        <v>1.4897149533140865</v>
      </c>
      <c r="Q31" s="51">
        <f t="shared" si="4"/>
        <v>1.4967166135946628</v>
      </c>
      <c r="R31" s="51">
        <f t="shared" si="4"/>
        <v>1.5037511816785576</v>
      </c>
      <c r="S31" s="51">
        <f t="shared" si="4"/>
        <v>1.4897149533140865</v>
      </c>
      <c r="T31" s="51">
        <f t="shared" si="4"/>
        <v>1.4967166135946628</v>
      </c>
      <c r="U31" s="51">
        <f t="shared" si="4"/>
        <v>1.5037511816785576</v>
      </c>
      <c r="V31" s="51">
        <f t="shared" si="4"/>
        <v>1.5108188122324469</v>
      </c>
      <c r="W31" s="51">
        <f t="shared" si="4"/>
        <v>1.5179196606499392</v>
      </c>
      <c r="X31" s="51">
        <f t="shared" si="4"/>
        <v>1.5250538830549936</v>
      </c>
      <c r="Y31" s="51">
        <f t="shared" si="4"/>
        <v>1.532221636305352</v>
      </c>
      <c r="Z31" s="51">
        <f t="shared" si="4"/>
        <v>1.539423077995987</v>
      </c>
      <c r="AA31" s="51">
        <f t="shared" si="4"/>
        <v>1.5466583664625679</v>
      </c>
      <c r="AB31" s="51">
        <f t="shared" si="4"/>
        <v>1.5539276607849419</v>
      </c>
      <c r="AC31" s="51">
        <f t="shared" si="4"/>
        <v>1.5612311207906311</v>
      </c>
      <c r="AD31" s="51">
        <f t="shared" si="4"/>
        <v>1.5685689070583468</v>
      </c>
      <c r="AE31" s="51">
        <f t="shared" si="4"/>
        <v>1.5759411809215211</v>
      </c>
      <c r="AF31" s="51">
        <f t="shared" si="4"/>
        <v>1.5833481044718523</v>
      </c>
      <c r="AG31" s="51">
        <f t="shared" si="4"/>
        <v>1.5907898405628698</v>
      </c>
      <c r="AH31" s="51">
        <f t="shared" si="4"/>
        <v>1.5982665528135152</v>
      </c>
      <c r="AI31" s="51">
        <f t="shared" si="4"/>
        <v>1.6057784056117386</v>
      </c>
      <c r="AJ31" s="1739">
        <f t="shared" si="4"/>
        <v>1.6133255641181135</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25">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25">
      <c r="A33" s="1823">
        <f>C33*1000000/$C$16</f>
        <v>9.7402579368513713</v>
      </c>
      <c r="B33" s="1794" t="s">
        <v>1004</v>
      </c>
      <c r="C33" s="1809">
        <f>SUMIF($D$15:$BG$15,1,D33:BG33)</f>
        <v>53.517308516546734</v>
      </c>
      <c r="D33" s="1804">
        <f>'C-FCL Real'!C153</f>
        <v>-30.048794449466726</v>
      </c>
      <c r="E33" s="51">
        <f>'C-FCL Real'!D153</f>
        <v>-41.191958165675146</v>
      </c>
      <c r="F33" s="51">
        <f>'C-FCL Real'!E153</f>
        <v>-51.684104675036181</v>
      </c>
      <c r="G33" s="51">
        <f>'C-FCL Real'!F153</f>
        <v>3.396484737949006</v>
      </c>
      <c r="H33" s="51">
        <f>'C-FCL Real'!G153</f>
        <v>3.5456063288346868</v>
      </c>
      <c r="I33" s="51">
        <f>'C-FCL Real'!H153</f>
        <v>3.6954287911975214</v>
      </c>
      <c r="J33" s="51">
        <f>'C-FCL Real'!I153</f>
        <v>3.8459554191334604</v>
      </c>
      <c r="K33" s="51">
        <f>'C-FCL Real'!J153</f>
        <v>3.997189522220701</v>
      </c>
      <c r="L33" s="51">
        <f>'C-FCL Real'!K153</f>
        <v>4.1491344255924574</v>
      </c>
      <c r="M33" s="51">
        <f>'C-FCL Real'!L153</f>
        <v>4.301793470010054</v>
      </c>
      <c r="N33" s="51">
        <f>'C-FCL Real'!M153</f>
        <v>4.455170011936417</v>
      </c>
      <c r="O33" s="51">
        <f>'C-FCL Real'!N153</f>
        <v>4.6092674236098361</v>
      </c>
      <c r="P33" s="51">
        <f>'C-FCL Real'!O153</f>
        <v>4.764089093118109</v>
      </c>
      <c r="Q33" s="51">
        <f>'C-FCL Real'!P153</f>
        <v>4.919638424473078</v>
      </c>
      <c r="R33" s="51">
        <f>'C-FCL Real'!Q153</f>
        <v>5.0759188376854141</v>
      </c>
      <c r="S33" s="51">
        <f>'C-FCL Real'!O153</f>
        <v>4.764089093118109</v>
      </c>
      <c r="T33" s="51">
        <f>'C-FCL Real'!P153</f>
        <v>4.919638424473078</v>
      </c>
      <c r="U33" s="51">
        <f>'C-FCL Real'!Q153</f>
        <v>5.0759188376854141</v>
      </c>
      <c r="V33" s="51">
        <f>'C-FCL Real'!R153</f>
        <v>5.2329337688398567</v>
      </c>
      <c r="W33" s="51">
        <f>'C-FCL Real'!S153</f>
        <v>5.3906866701707159</v>
      </c>
      <c r="X33" s="51">
        <f>'C-FCL Real'!T153</f>
        <v>5.5491810101378292</v>
      </c>
      <c r="Y33" s="51">
        <f>'C-FCL Real'!U153</f>
        <v>5.7084202735027887</v>
      </c>
      <c r="Z33" s="51">
        <f>'C-FCL Real'!V153</f>
        <v>5.8684079614055591</v>
      </c>
      <c r="AA33" s="51">
        <f>'C-FCL Real'!W153</f>
        <v>6.0291475914414789</v>
      </c>
      <c r="AB33" s="51">
        <f>'C-FCL Real'!X153</f>
        <v>6.1906426977385678</v>
      </c>
      <c r="AC33" s="51">
        <f>'C-FCL Real'!Y153</f>
        <v>6.3528968310352454</v>
      </c>
      <c r="AD33" s="51">
        <f>'C-FCL Real'!Z153</f>
        <v>6.5159135587584345</v>
      </c>
      <c r="AE33" s="51">
        <f>'C-FCL Real'!AA153</f>
        <v>6.6796964651018982</v>
      </c>
      <c r="AF33" s="51">
        <f>'C-FCL Real'!AB153</f>
        <v>6.8442491511051955</v>
      </c>
      <c r="AG33" s="51">
        <f>'C-FCL Real'!AC153</f>
        <v>7.0095752347327078</v>
      </c>
      <c r="AH33" s="51">
        <f>'C-FCL Real'!AD153</f>
        <v>7.1756783509532553</v>
      </c>
      <c r="AI33" s="51">
        <f>'C-FCL Real'!AE153</f>
        <v>7.3425621518200543</v>
      </c>
      <c r="AJ33" s="1739">
        <f>'C-FCL Real'!AF153</f>
        <v>7.5102303065509233</v>
      </c>
      <c r="AK33" s="51">
        <f>'C-FCL Real'!AG153</f>
        <v>7.6786865016090289</v>
      </c>
      <c r="AL33" s="51">
        <f>'C-FCL Real'!AH153</f>
        <v>7.8479344407839093</v>
      </c>
      <c r="AM33" s="51">
        <f>'C-FCL Real'!AI153</f>
        <v>8.0179778452728954</v>
      </c>
      <c r="AN33" s="51">
        <f>'C-FCL Real'!AJ153</f>
        <v>8.1888204537629932</v>
      </c>
      <c r="AO33" s="51">
        <f>'C-FCL Real'!AK153</f>
        <v>8.3604660225130019</v>
      </c>
      <c r="AP33" s="51">
        <f>'C-FCL Real'!AL153</f>
        <v>8.5329183254361141</v>
      </c>
      <c r="AQ33" s="51">
        <f>'C-FCL Real'!AM153</f>
        <v>8.7061811541829783</v>
      </c>
      <c r="AR33" s="51">
        <f>'C-FCL Real'!AN153</f>
        <v>8.8802583182249606</v>
      </c>
      <c r="AS33" s="51">
        <f>'C-FCL Real'!AO153</f>
        <v>9.0551536449379313</v>
      </c>
      <c r="AT33" s="51">
        <f>'C-FCL Real'!AP153</f>
        <v>9.2308709796864505</v>
      </c>
      <c r="AU33" s="51">
        <f>'C-FCL Real'!AQ153</f>
        <v>9.40741418590828</v>
      </c>
      <c r="AV33" s="51">
        <f>'C-FCL Real'!AR153</f>
        <v>9.5847871451993711</v>
      </c>
      <c r="AW33" s="51">
        <f>'C-FCL Real'!AS153</f>
        <v>9.7629937573991228</v>
      </c>
      <c r="AX33" s="51">
        <f>'C-FCL Real'!AT153</f>
        <v>9.9420379406762152</v>
      </c>
      <c r="AY33" s="51">
        <f>'C-FCL Real'!AU153</f>
        <v>10.121923631614706</v>
      </c>
      <c r="AZ33" s="51">
        <f>'C-FCL Real'!AV153</f>
        <v>10.302654785300604</v>
      </c>
      <c r="BA33" s="51">
        <f>'C-FCL Real'!AW153</f>
        <v>10.484235375408836</v>
      </c>
      <c r="BB33" s="51">
        <f>'C-FCL Real'!AX153</f>
        <v>10.666669394290572</v>
      </c>
      <c r="BC33" s="51">
        <f>'C-FCL Real'!AY153</f>
        <v>10.849960853061042</v>
      </c>
      <c r="BD33" s="51">
        <f>'C-FCL Real'!AZ153</f>
        <v>11.034113781687751</v>
      </c>
      <c r="BE33" s="51">
        <f>'C-FCL Real'!BA153</f>
        <v>11.219132229079001</v>
      </c>
      <c r="BF33" s="51">
        <f>'C-FCL Real'!BB153</f>
        <v>11.405020263172993</v>
      </c>
      <c r="BG33" s="51">
        <f>'C-FCL Real'!BC153</f>
        <v>11.59178197102721</v>
      </c>
      <c r="BH33" s="51">
        <f>'C-FCL Real'!BD153</f>
        <v>0</v>
      </c>
    </row>
    <row r="34" spans="1:60" ht="15" hidden="1" customHeight="1" outlineLevel="1" x14ac:dyDescent="0.25">
      <c r="A34" s="1823">
        <f>C34*1000000/$C$16</f>
        <v>6.3006940530859898</v>
      </c>
      <c r="B34" s="1847" t="s">
        <v>1012</v>
      </c>
      <c r="C34" s="1808">
        <f>SUMIF($D$15:$BG$15,1,D34:BG34)</f>
        <v>34.618814993761447</v>
      </c>
      <c r="D34" s="1804">
        <f t="shared" ref="D34:AJ34" si="5">NPV($C$8,D33:D33)</f>
        <v>-27.381806496689201</v>
      </c>
      <c r="E34" s="51">
        <f t="shared" si="5"/>
        <v>-37.535956046724209</v>
      </c>
      <c r="F34" s="51">
        <f t="shared" si="5"/>
        <v>-47.09686957812665</v>
      </c>
      <c r="G34" s="51">
        <f t="shared" si="5"/>
        <v>3.0950289210397357</v>
      </c>
      <c r="H34" s="51">
        <f t="shared" si="5"/>
        <v>3.2309151893882695</v>
      </c>
      <c r="I34" s="51">
        <f t="shared" si="5"/>
        <v>3.3674401231980333</v>
      </c>
      <c r="J34" s="51">
        <f t="shared" si="5"/>
        <v>3.5046067241967021</v>
      </c>
      <c r="K34" s="51">
        <f t="shared" si="5"/>
        <v>3.6424180082200666</v>
      </c>
      <c r="L34" s="51">
        <f t="shared" si="5"/>
        <v>3.7808770052783465</v>
      </c>
      <c r="M34" s="51">
        <f t="shared" si="5"/>
        <v>3.9199867596227942</v>
      </c>
      <c r="N34" s="51">
        <f t="shared" si="5"/>
        <v>4.0597503298126636</v>
      </c>
      <c r="O34" s="51">
        <f t="shared" si="5"/>
        <v>4.2001707887824278</v>
      </c>
      <c r="P34" s="51">
        <f t="shared" si="5"/>
        <v>4.3412512239093397</v>
      </c>
      <c r="Q34" s="51">
        <f t="shared" si="5"/>
        <v>4.4829947370813548</v>
      </c>
      <c r="R34" s="51">
        <f t="shared" si="5"/>
        <v>4.6254044447652767</v>
      </c>
      <c r="S34" s="51">
        <f t="shared" si="5"/>
        <v>4.3412512239093397</v>
      </c>
      <c r="T34" s="51">
        <f t="shared" si="5"/>
        <v>4.4829947370813548</v>
      </c>
      <c r="U34" s="51">
        <f t="shared" si="5"/>
        <v>4.6254044447652767</v>
      </c>
      <c r="V34" s="51">
        <f t="shared" si="5"/>
        <v>4.7684834780753205</v>
      </c>
      <c r="W34" s="51">
        <f t="shared" si="5"/>
        <v>4.9122349828419134</v>
      </c>
      <c r="X34" s="51">
        <f t="shared" si="5"/>
        <v>5.056662119680909</v>
      </c>
      <c r="Y34" s="51">
        <f t="shared" si="5"/>
        <v>5.2017680640630486</v>
      </c>
      <c r="Z34" s="51">
        <f t="shared" si="5"/>
        <v>5.3475560063837797</v>
      </c>
      <c r="AA34" s="51">
        <f t="shared" si="5"/>
        <v>5.4940291520334235</v>
      </c>
      <c r="AB34" s="51">
        <f t="shared" si="5"/>
        <v>5.6411907214676216</v>
      </c>
      <c r="AC34" s="51">
        <f t="shared" si="5"/>
        <v>5.7890439502781534</v>
      </c>
      <c r="AD34" s="51">
        <f t="shared" si="5"/>
        <v>5.9375920892641103</v>
      </c>
      <c r="AE34" s="51">
        <f t="shared" si="5"/>
        <v>6.0868384045032791</v>
      </c>
      <c r="AF34" s="51">
        <f t="shared" si="5"/>
        <v>6.23678617742409</v>
      </c>
      <c r="AG34" s="51">
        <f t="shared" si="5"/>
        <v>6.3874387048776278</v>
      </c>
      <c r="AH34" s="51">
        <f t="shared" si="5"/>
        <v>6.5387992992101838</v>
      </c>
      <c r="AI34" s="51">
        <f t="shared" si="5"/>
        <v>6.6908712883361172</v>
      </c>
      <c r="AJ34" s="1739">
        <f t="shared" si="5"/>
        <v>6.8436580158109379</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25">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25">
      <c r="A36" s="1823">
        <f>C36*1000000/$C$16</f>
        <v>10.918362043998602</v>
      </c>
      <c r="B36" s="1795" t="s">
        <v>1014</v>
      </c>
      <c r="C36" s="1809">
        <f>SUMIF($D$15:$BG$15,1,D36:BG36)</f>
        <v>59.990336374286436</v>
      </c>
      <c r="D36" s="1804">
        <f>IF(D33&gt;0,D33*0.34,0)</f>
        <v>0</v>
      </c>
      <c r="E36" s="51">
        <f t="shared" ref="E36:BG36" si="6">IF(E33&gt;0,E33*0.34,0)</f>
        <v>0</v>
      </c>
      <c r="F36" s="51">
        <f t="shared" si="6"/>
        <v>0</v>
      </c>
      <c r="G36" s="51">
        <f t="shared" si="6"/>
        <v>1.1548048109026621</v>
      </c>
      <c r="H36" s="51">
        <f t="shared" si="6"/>
        <v>1.2055061518037937</v>
      </c>
      <c r="I36" s="51">
        <f t="shared" si="6"/>
        <v>1.2564457890071574</v>
      </c>
      <c r="J36" s="51">
        <f t="shared" si="6"/>
        <v>1.3076248425053767</v>
      </c>
      <c r="K36" s="51">
        <f t="shared" si="6"/>
        <v>1.3590444375550383</v>
      </c>
      <c r="L36" s="51">
        <f t="shared" si="6"/>
        <v>1.4107057047014355</v>
      </c>
      <c r="M36" s="51">
        <f t="shared" si="6"/>
        <v>1.4626097798034186</v>
      </c>
      <c r="N36" s="51">
        <f t="shared" si="6"/>
        <v>1.514757804058382</v>
      </c>
      <c r="O36" s="51">
        <f t="shared" si="6"/>
        <v>1.5671509240273445</v>
      </c>
      <c r="P36" s="51">
        <f>IF(P33&gt;0,P33*0.34,0)</f>
        <v>1.6197902916601572</v>
      </c>
      <c r="Q36" s="51">
        <f>IF(Q33&gt;0,Q33*0.34,0)</f>
        <v>1.6726770643208466</v>
      </c>
      <c r="R36" s="51">
        <f>IF(R33&gt;0,R33*0.34,0)</f>
        <v>1.725812404813041</v>
      </c>
      <c r="S36" s="51">
        <f t="shared" si="6"/>
        <v>1.6197902916601572</v>
      </c>
      <c r="T36" s="51">
        <f t="shared" si="6"/>
        <v>1.6726770643208466</v>
      </c>
      <c r="U36" s="51">
        <f t="shared" si="6"/>
        <v>1.725812404813041</v>
      </c>
      <c r="V36" s="51">
        <f t="shared" si="6"/>
        <v>1.7791974814055513</v>
      </c>
      <c r="W36" s="51">
        <f t="shared" si="6"/>
        <v>1.8328334678580436</v>
      </c>
      <c r="X36" s="51">
        <f t="shared" si="6"/>
        <v>1.886721543446862</v>
      </c>
      <c r="Y36" s="51">
        <f t="shared" si="6"/>
        <v>1.9408628929909484</v>
      </c>
      <c r="Z36" s="51">
        <f t="shared" si="6"/>
        <v>1.9952587068778902</v>
      </c>
      <c r="AA36" s="51">
        <f t="shared" si="6"/>
        <v>2.049910181090103</v>
      </c>
      <c r="AB36" s="51">
        <f t="shared" si="6"/>
        <v>2.1048185172311134</v>
      </c>
      <c r="AC36" s="51">
        <f t="shared" si="6"/>
        <v>2.1599849225519834</v>
      </c>
      <c r="AD36" s="51">
        <f t="shared" si="6"/>
        <v>2.2154106099778681</v>
      </c>
      <c r="AE36" s="51">
        <f t="shared" si="6"/>
        <v>2.2710967981346455</v>
      </c>
      <c r="AF36" s="51">
        <f t="shared" si="6"/>
        <v>2.3270447113757666</v>
      </c>
      <c r="AG36" s="51">
        <f t="shared" si="6"/>
        <v>2.3832555798091208</v>
      </c>
      <c r="AH36" s="51">
        <f t="shared" si="6"/>
        <v>2.4397306393241069</v>
      </c>
      <c r="AI36" s="51">
        <f t="shared" si="6"/>
        <v>2.4964711316188186</v>
      </c>
      <c r="AJ36" s="1739">
        <f t="shared" si="6"/>
        <v>2.5534783042273141</v>
      </c>
      <c r="AK36" s="51">
        <f t="shared" si="6"/>
        <v>2.61075341054707</v>
      </c>
      <c r="AL36" s="51">
        <f t="shared" si="6"/>
        <v>2.6682977098665295</v>
      </c>
      <c r="AM36" s="51">
        <f t="shared" si="6"/>
        <v>2.7261124673927846</v>
      </c>
      <c r="AN36" s="51">
        <f t="shared" si="6"/>
        <v>2.7841989542794177</v>
      </c>
      <c r="AO36" s="51">
        <f t="shared" si="6"/>
        <v>2.842558447654421</v>
      </c>
      <c r="AP36" s="51">
        <f t="shared" si="6"/>
        <v>2.9011922306482791</v>
      </c>
      <c r="AQ36" s="51">
        <f t="shared" si="6"/>
        <v>2.9601015924222129</v>
      </c>
      <c r="AR36" s="51">
        <f t="shared" si="6"/>
        <v>3.0192878281964868</v>
      </c>
      <c r="AS36" s="51">
        <f t="shared" si="6"/>
        <v>3.0787522392788969</v>
      </c>
      <c r="AT36" s="51">
        <f t="shared" si="6"/>
        <v>3.1384961330933936</v>
      </c>
      <c r="AU36" s="51">
        <f t="shared" si="6"/>
        <v>3.1985208232088156</v>
      </c>
      <c r="AV36" s="51">
        <f t="shared" si="6"/>
        <v>3.2588276293677865</v>
      </c>
      <c r="AW36" s="51">
        <f t="shared" si="6"/>
        <v>3.3194178775157019</v>
      </c>
      <c r="AX36" s="51">
        <f t="shared" si="6"/>
        <v>3.3802928998299135</v>
      </c>
      <c r="AY36" s="51">
        <f t="shared" si="6"/>
        <v>3.4414540347490004</v>
      </c>
      <c r="AZ36" s="51">
        <f t="shared" si="6"/>
        <v>3.5029026270022054</v>
      </c>
      <c r="BA36" s="51">
        <f t="shared" si="6"/>
        <v>3.5646400276390047</v>
      </c>
      <c r="BB36" s="51">
        <f t="shared" si="6"/>
        <v>3.6266675940587949</v>
      </c>
      <c r="BC36" s="51">
        <f t="shared" si="6"/>
        <v>3.6889866900407546</v>
      </c>
      <c r="BD36" s="51">
        <f t="shared" si="6"/>
        <v>3.7515986857738355</v>
      </c>
      <c r="BE36" s="51">
        <f t="shared" si="6"/>
        <v>3.8145049578868608</v>
      </c>
      <c r="BF36" s="51">
        <f t="shared" si="6"/>
        <v>3.877706889478818</v>
      </c>
      <c r="BG36" s="51">
        <f t="shared" si="6"/>
        <v>3.9412058701492518</v>
      </c>
      <c r="BH36" s="51">
        <f>BH33*0.34</f>
        <v>0</v>
      </c>
    </row>
    <row r="37" spans="1:60" ht="15" hidden="1" customHeight="1" outlineLevel="1" x14ac:dyDescent="0.25">
      <c r="A37" s="1823">
        <f>C37*1000000/$C$16</f>
        <v>9.0737781189906759</v>
      </c>
      <c r="B37" s="1847" t="s">
        <v>1013</v>
      </c>
      <c r="C37" s="1808">
        <f>SUMIF($D$15:$BG$15,1,D37:BG37)</f>
        <v>49.855372019202512</v>
      </c>
      <c r="D37" s="1804">
        <f t="shared" ref="D37:AJ37" si="7">NPV($C$8,D36:D36)</f>
        <v>0</v>
      </c>
      <c r="E37" s="51">
        <f t="shared" si="7"/>
        <v>0</v>
      </c>
      <c r="F37" s="51">
        <f t="shared" si="7"/>
        <v>0</v>
      </c>
      <c r="G37" s="51">
        <f t="shared" si="7"/>
        <v>1.0523098331535103</v>
      </c>
      <c r="H37" s="51">
        <f t="shared" si="7"/>
        <v>1.0985111643920118</v>
      </c>
      <c r="I37" s="51">
        <f t="shared" si="7"/>
        <v>1.1449296418873314</v>
      </c>
      <c r="J37" s="51">
        <f t="shared" si="7"/>
        <v>1.1915662862268788</v>
      </c>
      <c r="K37" s="51">
        <f t="shared" si="7"/>
        <v>1.2384221227948227</v>
      </c>
      <c r="L37" s="51">
        <f t="shared" si="7"/>
        <v>1.2854981817946378</v>
      </c>
      <c r="M37" s="51">
        <f t="shared" si="7"/>
        <v>1.3327954982717503</v>
      </c>
      <c r="N37" s="51">
        <f t="shared" si="7"/>
        <v>1.380315112136306</v>
      </c>
      <c r="O37" s="51">
        <f t="shared" si="7"/>
        <v>1.4280580681860258</v>
      </c>
      <c r="P37" s="51">
        <f t="shared" si="7"/>
        <v>1.4760254161291757</v>
      </c>
      <c r="Q37" s="51">
        <f t="shared" si="7"/>
        <v>1.5242182106076605</v>
      </c>
      <c r="R37" s="51">
        <f t="shared" si="7"/>
        <v>1.5726375112201942</v>
      </c>
      <c r="S37" s="51">
        <f t="shared" si="7"/>
        <v>1.4760254161291757</v>
      </c>
      <c r="T37" s="51">
        <f t="shared" si="7"/>
        <v>1.5242182106076605</v>
      </c>
      <c r="U37" s="51">
        <f t="shared" si="7"/>
        <v>1.5726375112201942</v>
      </c>
      <c r="V37" s="51">
        <f t="shared" si="7"/>
        <v>1.6212843825456091</v>
      </c>
      <c r="W37" s="51">
        <f t="shared" si="7"/>
        <v>1.6701598941662508</v>
      </c>
      <c r="X37" s="51">
        <f t="shared" si="7"/>
        <v>1.7192651206915093</v>
      </c>
      <c r="Y37" s="51">
        <f t="shared" si="7"/>
        <v>1.7686011417814367</v>
      </c>
      <c r="Z37" s="51">
        <f t="shared" si="7"/>
        <v>1.818169042170485</v>
      </c>
      <c r="AA37" s="51">
        <f t="shared" si="7"/>
        <v>1.8679699116913642</v>
      </c>
      <c r="AB37" s="51">
        <f t="shared" si="7"/>
        <v>1.9180048452989917</v>
      </c>
      <c r="AC37" s="51">
        <f t="shared" si="7"/>
        <v>1.9682749430945721</v>
      </c>
      <c r="AD37" s="51">
        <f t="shared" si="7"/>
        <v>2.018781310349798</v>
      </c>
      <c r="AE37" s="51">
        <f t="shared" si="7"/>
        <v>2.069525057531115</v>
      </c>
      <c r="AF37" s="51">
        <f t="shared" si="7"/>
        <v>2.1205073003241908</v>
      </c>
      <c r="AG37" s="51">
        <f t="shared" si="7"/>
        <v>2.1717291596583936</v>
      </c>
      <c r="AH37" s="51">
        <f t="shared" si="7"/>
        <v>2.2231917617314627</v>
      </c>
      <c r="AI37" s="51">
        <f t="shared" si="7"/>
        <v>2.2748962380342799</v>
      </c>
      <c r="AJ37" s="1739">
        <f t="shared" si="7"/>
        <v>2.3268437253757193</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25">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25">
      <c r="A39" s="1823">
        <f>C39*1000000/$C$16</f>
        <v>-1.178104107147224</v>
      </c>
      <c r="B39" s="1794" t="s">
        <v>1002</v>
      </c>
      <c r="C39" s="1809">
        <f>SUMIF($D$15:$BG$15,1,D39:BG39)</f>
        <v>-6.473027857739666</v>
      </c>
      <c r="D39" s="1804">
        <f>'C-FCL Real'!C156</f>
        <v>-30.048794449466726</v>
      </c>
      <c r="E39" s="51">
        <f>'C-FCL Real'!D156</f>
        <v>-41.191958165675146</v>
      </c>
      <c r="F39" s="51">
        <f>'C-FCL Real'!E156</f>
        <v>-51.684104675036181</v>
      </c>
      <c r="G39" s="51">
        <f>'C-FCL Real'!F156</f>
        <v>2.2416799270463441</v>
      </c>
      <c r="H39" s="51">
        <f>'C-FCL Real'!G156</f>
        <v>2.3401001770308936</v>
      </c>
      <c r="I39" s="51">
        <f>'C-FCL Real'!H156</f>
        <v>2.4389830021903642</v>
      </c>
      <c r="J39" s="51">
        <f>'C-FCL Real'!I156</f>
        <v>2.5383305766280841</v>
      </c>
      <c r="K39" s="51">
        <f>'C-FCL Real'!J156</f>
        <v>2.6381450846656627</v>
      </c>
      <c r="L39" s="51">
        <f>'C-FCL Real'!K156</f>
        <v>2.7384287208910219</v>
      </c>
      <c r="M39" s="51">
        <f>'C-FCL Real'!L156</f>
        <v>2.8391836902066356</v>
      </c>
      <c r="N39" s="51">
        <f>'C-FCL Real'!M156</f>
        <v>2.9404122078780355</v>
      </c>
      <c r="O39" s="51">
        <f>'C-FCL Real'!N156</f>
        <v>3.0421164995824919</v>
      </c>
      <c r="P39" s="51">
        <f>'C-FCL Real'!O156</f>
        <v>3.144298801457952</v>
      </c>
      <c r="Q39" s="51">
        <f>'C-FCL Real'!P156</f>
        <v>3.2469613601522318</v>
      </c>
      <c r="R39" s="51">
        <f>'C-FCL Real'!Q156</f>
        <v>3.3501064328723733</v>
      </c>
      <c r="S39" s="51">
        <f>'C-FCL Real'!O156</f>
        <v>3.144298801457952</v>
      </c>
      <c r="T39" s="51">
        <f>'C-FCL Real'!P156</f>
        <v>3.2469613601522318</v>
      </c>
      <c r="U39" s="51">
        <f>'C-FCL Real'!Q156</f>
        <v>3.3501064328723733</v>
      </c>
      <c r="V39" s="51">
        <f>'C-FCL Real'!R156</f>
        <v>3.4537362874343054</v>
      </c>
      <c r="W39" s="51">
        <f>'C-FCL Real'!S156</f>
        <v>3.5578532023126725</v>
      </c>
      <c r="X39" s="51">
        <f>'C-FCL Real'!T156</f>
        <v>3.6624594666909673</v>
      </c>
      <c r="Y39" s="51">
        <f>'C-FCL Real'!U156</f>
        <v>3.7675573805118407</v>
      </c>
      <c r="Z39" s="51">
        <f>'C-FCL Real'!V156</f>
        <v>3.8731492545276693</v>
      </c>
      <c r="AA39" s="51">
        <f>'C-FCL Real'!W156</f>
        <v>3.9792374103513763</v>
      </c>
      <c r="AB39" s="51">
        <f>'C-FCL Real'!X156</f>
        <v>4.0858241805074549</v>
      </c>
      <c r="AC39" s="51">
        <f>'C-FCL Real'!Y156</f>
        <v>4.1929119084832625</v>
      </c>
      <c r="AD39" s="51">
        <f>'C-FCL Real'!Z156</f>
        <v>4.3005029487805668</v>
      </c>
      <c r="AE39" s="51">
        <f>'C-FCL Real'!AA156</f>
        <v>4.4085996669672527</v>
      </c>
      <c r="AF39" s="51">
        <f>'C-FCL Real'!AB156</f>
        <v>4.5172044397294293</v>
      </c>
      <c r="AG39" s="51">
        <f>'C-FCL Real'!AC156</f>
        <v>4.626319654923587</v>
      </c>
      <c r="AH39" s="51">
        <f>'C-FCL Real'!AD156</f>
        <v>4.7359477116291488</v>
      </c>
      <c r="AI39" s="51">
        <f>'C-FCL Real'!AE156</f>
        <v>4.8460910202012357</v>
      </c>
      <c r="AJ39" s="1739">
        <f>'C-FCL Real'!AF156</f>
        <v>4.9567520023236096</v>
      </c>
      <c r="AK39" s="51">
        <f>'C-FCL Real'!AG156</f>
        <v>5.0679330910619589</v>
      </c>
      <c r="AL39" s="51">
        <f>'C-FCL Real'!AH156</f>
        <v>5.1796367309173803</v>
      </c>
      <c r="AM39" s="51">
        <f>'C-FCL Real'!AI156</f>
        <v>5.2918653778801108</v>
      </c>
      <c r="AN39" s="51">
        <f>'C-FCL Real'!AJ156</f>
        <v>5.404621499483576</v>
      </c>
      <c r="AO39" s="51">
        <f>'C-FCL Real'!AK156</f>
        <v>5.5179075748585813</v>
      </c>
      <c r="AP39" s="51">
        <f>'C-FCL Real'!AL156</f>
        <v>5.6317260947878358</v>
      </c>
      <c r="AQ39" s="51">
        <f>'C-FCL Real'!AM156</f>
        <v>5.7460795617607658</v>
      </c>
      <c r="AR39" s="51">
        <f>'C-FCL Real'!AN156</f>
        <v>5.8609704900284747</v>
      </c>
      <c r="AS39" s="51">
        <f>'C-FCL Real'!AO156</f>
        <v>5.9764014056590353</v>
      </c>
      <c r="AT39" s="51">
        <f>'C-FCL Real'!AP156</f>
        <v>6.0923748465930574</v>
      </c>
      <c r="AU39" s="51">
        <f>'C-FCL Real'!AQ156</f>
        <v>6.2088933626994649</v>
      </c>
      <c r="AV39" s="51">
        <f>'C-FCL Real'!AR156</f>
        <v>6.3259595158315856</v>
      </c>
      <c r="AW39" s="51">
        <f>'C-FCL Real'!AS156</f>
        <v>6.4435758798834213</v>
      </c>
      <c r="AX39" s="51">
        <f>'C-FCL Real'!AT156</f>
        <v>6.5617450408463025</v>
      </c>
      <c r="AY39" s="51">
        <f>'C-FCL Real'!AU156</f>
        <v>6.6804695968657066</v>
      </c>
      <c r="AZ39" s="51">
        <f>'C-FCL Real'!AV156</f>
        <v>6.7997521582983991</v>
      </c>
      <c r="BA39" s="51">
        <f>'C-FCL Real'!AW156</f>
        <v>6.9195953477698326</v>
      </c>
      <c r="BB39" s="51">
        <f>'C-FCL Real'!AX156</f>
        <v>7.0400018002317779</v>
      </c>
      <c r="BC39" s="51">
        <f>'C-FCL Real'!AY156</f>
        <v>7.1609741630202874</v>
      </c>
      <c r="BD39" s="51">
        <f>'C-FCL Real'!AZ156</f>
        <v>7.282515095913916</v>
      </c>
      <c r="BE39" s="51">
        <f>'C-FCL Real'!BA156</f>
        <v>7.4046272711921413</v>
      </c>
      <c r="BF39" s="51">
        <f>'C-FCL Real'!BB156</f>
        <v>7.5273133736941755</v>
      </c>
      <c r="BG39" s="51">
        <f>'C-FCL Real'!BC156</f>
        <v>7.6505761008779585</v>
      </c>
      <c r="BH39" s="51">
        <f>'C-FCL Real'!BD156</f>
        <v>0</v>
      </c>
    </row>
    <row r="40" spans="1:60" ht="15" hidden="1" customHeight="1" outlineLevel="1" x14ac:dyDescent="0.25">
      <c r="A40" s="1823">
        <f>C40*1000000/$C$16</f>
        <v>-1.9325755642892564</v>
      </c>
      <c r="B40" s="1847" t="s">
        <v>1015</v>
      </c>
      <c r="C40" s="1808">
        <f>SUMIF($D$15:$BG$15,1,D40:BG40)</f>
        <v>-10.618429550443818</v>
      </c>
      <c r="D40" s="1804">
        <f t="shared" ref="D40:AK40" si="8">NPV($C$8,D39:D39)</f>
        <v>-27.381806496689201</v>
      </c>
      <c r="E40" s="51">
        <f t="shared" si="8"/>
        <v>-37.535956046724209</v>
      </c>
      <c r="F40" s="51">
        <f t="shared" si="8"/>
        <v>-47.09686957812665</v>
      </c>
      <c r="G40" s="51">
        <f t="shared" si="8"/>
        <v>2.0427190878862258</v>
      </c>
      <c r="H40" s="51">
        <f t="shared" si="8"/>
        <v>2.1324040249962581</v>
      </c>
      <c r="I40" s="51">
        <f t="shared" si="8"/>
        <v>2.2225104813107022</v>
      </c>
      <c r="J40" s="51">
        <f t="shared" si="8"/>
        <v>2.3130404379698235</v>
      </c>
      <c r="K40" s="51">
        <f t="shared" si="8"/>
        <v>2.4039958854252439</v>
      </c>
      <c r="L40" s="51">
        <f t="shared" si="8"/>
        <v>2.4953788234837089</v>
      </c>
      <c r="M40" s="51">
        <f t="shared" si="8"/>
        <v>2.5871912613510442</v>
      </c>
      <c r="N40" s="51">
        <f t="shared" si="8"/>
        <v>2.6794352176763585</v>
      </c>
      <c r="O40" s="51">
        <f t="shared" si="8"/>
        <v>2.7721127205964025</v>
      </c>
      <c r="P40" s="51">
        <f t="shared" si="8"/>
        <v>2.8652258077801642</v>
      </c>
      <c r="Q40" s="51">
        <f t="shared" si="8"/>
        <v>2.9587765264736943</v>
      </c>
      <c r="R40" s="51">
        <f t="shared" si="8"/>
        <v>3.0527669335450827</v>
      </c>
      <c r="S40" s="51">
        <f t="shared" si="8"/>
        <v>2.8652258077801642</v>
      </c>
      <c r="T40" s="51">
        <f t="shared" si="8"/>
        <v>2.9587765264736943</v>
      </c>
      <c r="U40" s="51">
        <f t="shared" si="8"/>
        <v>3.0527669335450827</v>
      </c>
      <c r="V40" s="51">
        <f t="shared" si="8"/>
        <v>3.1471990955297118</v>
      </c>
      <c r="W40" s="51">
        <f t="shared" si="8"/>
        <v>3.2420750886756631</v>
      </c>
      <c r="X40" s="51">
        <f t="shared" si="8"/>
        <v>3.3373969989894001</v>
      </c>
      <c r="Y40" s="51">
        <f t="shared" si="8"/>
        <v>3.4331669222816119</v>
      </c>
      <c r="Z40" s="51">
        <f t="shared" si="8"/>
        <v>3.5293869642132947</v>
      </c>
      <c r="AA40" s="51">
        <f t="shared" si="8"/>
        <v>3.6260592403420602</v>
      </c>
      <c r="AB40" s="51">
        <f t="shared" si="8"/>
        <v>3.7231858761686305</v>
      </c>
      <c r="AC40" s="51">
        <f t="shared" si="8"/>
        <v>3.820769007183582</v>
      </c>
      <c r="AD40" s="51">
        <f t="shared" si="8"/>
        <v>3.9188107789143132</v>
      </c>
      <c r="AE40" s="51">
        <f t="shared" si="8"/>
        <v>4.0173133469721645</v>
      </c>
      <c r="AF40" s="51">
        <f t="shared" si="8"/>
        <v>4.1162788770998997</v>
      </c>
      <c r="AG40" s="51">
        <f t="shared" si="8"/>
        <v>4.2157095452192337</v>
      </c>
      <c r="AH40" s="51">
        <f t="shared" si="8"/>
        <v>4.3156075374787219</v>
      </c>
      <c r="AI40" s="51">
        <f t="shared" si="8"/>
        <v>4.4159750503018369</v>
      </c>
      <c r="AJ40" s="1739">
        <f t="shared" si="8"/>
        <v>4.5168142904352191</v>
      </c>
      <c r="AK40" s="51">
        <f t="shared" si="8"/>
        <v>4.6181274749972294</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25">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25">
      <c r="A42" s="1823">
        <f>A24+A27+A30</f>
        <v>214.279491827013</v>
      </c>
      <c r="B42" s="1793" t="s">
        <v>1003</v>
      </c>
      <c r="C42" s="1810"/>
      <c r="D42" s="1804">
        <f>'C-FCL Real'!C157</f>
        <v>-30.048794449466726</v>
      </c>
      <c r="E42" s="51">
        <f>'C-FCL Real'!D157</f>
        <v>-71.240752615141872</v>
      </c>
      <c r="F42" s="51">
        <f>'C-FCL Real'!E157</f>
        <v>-122.92485729017805</v>
      </c>
      <c r="G42" s="51">
        <f>'C-FCL Real'!F157</f>
        <v>-120.6831773631317</v>
      </c>
      <c r="H42" s="51">
        <f>'C-FCL Real'!G157</f>
        <v>-118.34307718610081</v>
      </c>
      <c r="I42" s="51">
        <f>'C-FCL Real'!H157</f>
        <v>-115.90409418391044</v>
      </c>
      <c r="J42" s="51">
        <f>'C-FCL Real'!I157</f>
        <v>-113.36576360728236</v>
      </c>
      <c r="K42" s="51">
        <f>'C-FCL Real'!J157</f>
        <v>-110.72761852261669</v>
      </c>
      <c r="L42" s="51">
        <f>'C-FCL Real'!K157</f>
        <v>-107.98918980172567</v>
      </c>
      <c r="M42" s="51">
        <f>'C-FCL Real'!L157</f>
        <v>-105.15000611151903</v>
      </c>
      <c r="N42" s="51">
        <f>'C-FCL Real'!M157</f>
        <v>-102.20959390364099</v>
      </c>
      <c r="O42" s="51">
        <f>'C-FCL Real'!N157</f>
        <v>-99.167477404058502</v>
      </c>
      <c r="P42" s="51">
        <f>'C-FCL Real'!O157</f>
        <v>-96.023178602600552</v>
      </c>
      <c r="Q42" s="51">
        <f>'C-FCL Real'!P157</f>
        <v>-92.776217242448325</v>
      </c>
      <c r="R42" s="51">
        <f>'C-FCL Real'!Q157</f>
        <v>-89.426110809575945</v>
      </c>
      <c r="S42" s="51">
        <f>'C-FCL Real'!O157</f>
        <v>-96.023178602600552</v>
      </c>
      <c r="T42" s="51">
        <f>'C-FCL Real'!P157</f>
        <v>-92.776217242448325</v>
      </c>
      <c r="U42" s="51">
        <f>'C-FCL Real'!Q157</f>
        <v>-89.426110809575945</v>
      </c>
      <c r="V42" s="51">
        <f>'C-FCL Real'!R157</f>
        <v>-85.972374522141635</v>
      </c>
      <c r="W42" s="51">
        <f>'C-FCL Real'!S157</f>
        <v>-82.414521319828964</v>
      </c>
      <c r="X42" s="51">
        <f>'C-FCL Real'!T157</f>
        <v>-78.752061853138002</v>
      </c>
      <c r="Y42" s="51">
        <f>'C-FCL Real'!U157</f>
        <v>-74.984504472626156</v>
      </c>
      <c r="Z42" s="51">
        <f>'C-FCL Real'!V157</f>
        <v>-71.111355218098481</v>
      </c>
      <c r="AA42" s="51">
        <f>'C-FCL Real'!W157</f>
        <v>-67.132117807747107</v>
      </c>
      <c r="AB42" s="51">
        <f>'C-FCL Real'!X157</f>
        <v>-63.046293627239649</v>
      </c>
      <c r="AC42" s="51">
        <f>'C-FCL Real'!Y157</f>
        <v>-58.853381718756388</v>
      </c>
      <c r="AD42" s="51">
        <f>'C-FCL Real'!Z157</f>
        <v>-54.55287876997582</v>
      </c>
      <c r="AE42" s="51">
        <f>'C-FCL Real'!AA157</f>
        <v>-50.144279103008564</v>
      </c>
      <c r="AF42" s="51">
        <f>'C-FCL Real'!AB157</f>
        <v>-45.627074663279132</v>
      </c>
      <c r="AG42" s="51">
        <f>'C-FCL Real'!AC157</f>
        <v>-41.000755008355547</v>
      </c>
      <c r="AH42" s="51">
        <f>'C-FCL Real'!AD157</f>
        <v>-36.264807296726396</v>
      </c>
      <c r="AI42" s="51">
        <f>'C-FCL Real'!AE157</f>
        <v>-31.41871627652516</v>
      </c>
      <c r="AJ42" s="1739">
        <f>'C-FCL Real'!AF157</f>
        <v>-26.461964274201549</v>
      </c>
      <c r="AK42" s="51">
        <f>'C-FCL Real'!AG157</f>
        <v>-21.394031183139589</v>
      </c>
      <c r="AL42" s="51">
        <f>'C-FCL Real'!AH157</f>
        <v>-16.214394452222209</v>
      </c>
      <c r="AM42" s="51">
        <f>'C-FCL Real'!AI157</f>
        <v>-10.922529074342098</v>
      </c>
      <c r="AN42" s="51">
        <f>'C-FCL Real'!AJ157</f>
        <v>-5.5179075748585218</v>
      </c>
      <c r="AO42" s="51">
        <f>'C-FCL Real'!AK157</f>
        <v>5.9507954119908391E-14</v>
      </c>
      <c r="AP42" s="51">
        <f>'C-FCL Real'!AL157</f>
        <v>5.6317260947878953</v>
      </c>
      <c r="AQ42" s="51">
        <f>'C-FCL Real'!AM157</f>
        <v>11.377805656548661</v>
      </c>
      <c r="AR42" s="51">
        <f>'C-FCL Real'!AN157</f>
        <v>17.238776146577138</v>
      </c>
      <c r="AS42" s="51">
        <f>'C-FCL Real'!AO157</f>
        <v>23.215177552236174</v>
      </c>
      <c r="AT42" s="51">
        <f>'C-FCL Real'!AP157</f>
        <v>29.30755239882923</v>
      </c>
      <c r="AU42" s="51">
        <f>'C-FCL Real'!AQ157</f>
        <v>35.516445761528693</v>
      </c>
      <c r="AV42" s="51">
        <f>'C-FCL Real'!AR157</f>
        <v>41.842405277360278</v>
      </c>
      <c r="AW42" s="51">
        <f>'C-FCL Real'!AS157</f>
        <v>48.285981157243697</v>
      </c>
      <c r="AX42" s="51">
        <f>'C-FCL Real'!AT157</f>
        <v>54.847726198090001</v>
      </c>
      <c r="AY42" s="51">
        <f>'C-FCL Real'!AU157</f>
        <v>61.528195794955707</v>
      </c>
      <c r="AZ42" s="51">
        <f>'C-FCL Real'!AV157</f>
        <v>68.32794795325411</v>
      </c>
      <c r="BA42" s="51">
        <f>'C-FCL Real'!AW157</f>
        <v>75.247543301023939</v>
      </c>
      <c r="BB42" s="51">
        <f>'C-FCL Real'!AX157</f>
        <v>82.287545101255716</v>
      </c>
      <c r="BC42" s="51">
        <f>'C-FCL Real'!AY157</f>
        <v>89.448519264276001</v>
      </c>
      <c r="BD42" s="51">
        <f>'C-FCL Real'!AZ157</f>
        <v>96.731034360189923</v>
      </c>
      <c r="BE42" s="51">
        <f>'C-FCL Real'!BA157</f>
        <v>104.13566163138206</v>
      </c>
      <c r="BF42" s="51">
        <f>'C-FCL Real'!BB157</f>
        <v>111.66297500507623</v>
      </c>
      <c r="BG42" s="51">
        <f>'C-FCL Real'!BC157</f>
        <v>119.31355110595419</v>
      </c>
      <c r="BH42" s="51">
        <f>'C-FCL Real'!BD157</f>
        <v>0</v>
      </c>
    </row>
    <row r="43" spans="1:60" ht="15" hidden="1" customHeight="1" outlineLevel="1" x14ac:dyDescent="0.25">
      <c r="A43" s="1823">
        <f>A18+A21+A36</f>
        <v>215.45759593416022</v>
      </c>
      <c r="B43" s="1793" t="s">
        <v>1042</v>
      </c>
      <c r="C43" s="1811">
        <f>'R&amp;C-Painel de Controle'!D32</f>
        <v>35</v>
      </c>
      <c r="D43" s="1796" t="s">
        <v>309</v>
      </c>
    </row>
    <row r="44" spans="1:60" ht="15" hidden="1" customHeight="1" outlineLevel="1" x14ac:dyDescent="0.25">
      <c r="A44" s="1823">
        <f>A42-A43</f>
        <v>-1.1781041071472202</v>
      </c>
      <c r="B44" s="1793" t="s">
        <v>1024</v>
      </c>
      <c r="C44" s="1727"/>
      <c r="D44" s="1192"/>
      <c r="F44" s="1733"/>
      <c r="G44" s="1733"/>
    </row>
    <row r="45" spans="1:60" s="1783" customFormat="1" ht="15" hidden="1" customHeight="1" outlineLevel="1" x14ac:dyDescent="0.25">
      <c r="A45" s="1823"/>
      <c r="B45" s="1793"/>
      <c r="C45" s="1841"/>
      <c r="D45" s="1192"/>
      <c r="F45" s="1733"/>
      <c r="G45" s="1733"/>
      <c r="AI45" s="383"/>
    </row>
    <row r="46" spans="1:60" ht="15" hidden="1" customHeight="1" outlineLevel="1" x14ac:dyDescent="0.25">
      <c r="B46" s="1738" t="s">
        <v>1021</v>
      </c>
      <c r="C46" s="1809">
        <f>F46*$C$16/1000000</f>
        <v>1119.1897815116963</v>
      </c>
      <c r="D46" s="1758" t="s">
        <v>1061</v>
      </c>
      <c r="E46" s="1758"/>
      <c r="F46" s="1775">
        <f>A27</f>
        <v>203.69479434567918</v>
      </c>
      <c r="G46" s="1758" t="s">
        <v>342</v>
      </c>
      <c r="H46" s="1758"/>
    </row>
    <row r="47" spans="1:60" ht="15" hidden="1" customHeight="1" outlineLevel="1" x14ac:dyDescent="0.25">
      <c r="B47" s="1869" t="s">
        <v>1022</v>
      </c>
      <c r="C47" s="1870">
        <f>F47*$C$16/1000000</f>
        <v>0</v>
      </c>
      <c r="D47" s="1871" t="s">
        <v>1061</v>
      </c>
      <c r="E47" s="1871"/>
      <c r="F47" s="1872">
        <f>A24</f>
        <v>0</v>
      </c>
      <c r="G47" s="1871" t="s">
        <v>342</v>
      </c>
      <c r="H47" s="1871"/>
    </row>
    <row r="48" spans="1:60" ht="15" hidden="1" customHeight="1" outlineLevel="1" thickBot="1" x14ac:dyDescent="0.3">
      <c r="B48" s="1738" t="s">
        <v>1023</v>
      </c>
      <c r="C48" s="1809">
        <f>F48*$C$16/1000000</f>
        <v>58.157034889157352</v>
      </c>
      <c r="D48" s="1758" t="s">
        <v>1061</v>
      </c>
      <c r="E48" s="1758"/>
      <c r="F48" s="1775">
        <f>A30</f>
        <v>10.584697481333817</v>
      </c>
      <c r="G48" s="1758" t="s">
        <v>342</v>
      </c>
      <c r="H48" s="1758"/>
    </row>
    <row r="49" spans="1:35" s="42" customFormat="1" ht="15" hidden="1" customHeight="1" outlineLevel="1" thickTop="1" x14ac:dyDescent="0.25">
      <c r="A49" s="1740"/>
      <c r="B49" s="1759" t="s">
        <v>1025</v>
      </c>
      <c r="C49" s="1777">
        <f>C46+C47+C48</f>
        <v>1177.3468164008536</v>
      </c>
      <c r="D49" s="1760" t="s">
        <v>1061</v>
      </c>
      <c r="E49" s="1760"/>
      <c r="F49" s="1761">
        <f>F46+F47+F48</f>
        <v>214.279491827013</v>
      </c>
      <c r="G49" s="1760" t="s">
        <v>342</v>
      </c>
      <c r="H49" s="1760"/>
      <c r="AI49" s="1740"/>
    </row>
    <row r="50" spans="1:35" ht="15" hidden="1" customHeight="1" outlineLevel="1" x14ac:dyDescent="0.25">
      <c r="B50" s="1869" t="s">
        <v>1027</v>
      </c>
      <c r="C50" s="1870">
        <f>F50*$C$16/1000000</f>
        <v>1123.8295078843068</v>
      </c>
      <c r="D50" s="1871" t="s">
        <v>1061</v>
      </c>
      <c r="E50" s="1871"/>
      <c r="F50" s="1872">
        <f>A18+A21</f>
        <v>204.53923389016163</v>
      </c>
      <c r="G50" s="1871" t="s">
        <v>342</v>
      </c>
      <c r="H50" s="1871"/>
    </row>
    <row r="51" spans="1:35" ht="15" hidden="1" customHeight="1" outlineLevel="1" x14ac:dyDescent="0.25">
      <c r="B51" s="1738" t="s">
        <v>1028</v>
      </c>
      <c r="C51" s="1821">
        <f>F51*$C$16/1000000</f>
        <v>59.990336374286436</v>
      </c>
      <c r="D51" s="1758" t="s">
        <v>1061</v>
      </c>
      <c r="E51" s="1758"/>
      <c r="F51" s="1776">
        <f>A36</f>
        <v>10.918362043998602</v>
      </c>
      <c r="G51" s="1758" t="s">
        <v>342</v>
      </c>
      <c r="H51" s="1758"/>
    </row>
    <row r="52" spans="1:35" s="1735" customFormat="1" ht="15" hidden="1" customHeight="1" outlineLevel="1" thickBot="1" x14ac:dyDescent="0.3">
      <c r="A52" s="1745"/>
      <c r="B52" s="1799"/>
      <c r="C52" s="1820"/>
      <c r="D52" s="1770"/>
      <c r="E52" s="1770"/>
      <c r="F52" s="1770"/>
      <c r="G52" s="1770"/>
      <c r="H52" s="1770"/>
      <c r="AI52" s="1745"/>
    </row>
    <row r="53" spans="1:35" s="45" customFormat="1" ht="15" hidden="1" customHeight="1" outlineLevel="1" thickTop="1" x14ac:dyDescent="0.25">
      <c r="A53" s="925"/>
      <c r="B53" s="1843" t="s">
        <v>1026</v>
      </c>
      <c r="C53" s="1844">
        <f>C49-C50-C51</f>
        <v>-6.4730278577396447</v>
      </c>
      <c r="D53" s="1845" t="s">
        <v>1061</v>
      </c>
      <c r="E53" s="1845"/>
      <c r="F53" s="1846">
        <f>F49-F50-F51</f>
        <v>-1.1781041071472238</v>
      </c>
      <c r="G53" s="1845" t="s">
        <v>342</v>
      </c>
      <c r="H53" s="1845"/>
      <c r="AI53" s="925"/>
    </row>
    <row r="54" spans="1:35" s="1783" customFormat="1" ht="15" customHeight="1" thickTop="1" thickBot="1" x14ac:dyDescent="0.3">
      <c r="A54" s="1823"/>
      <c r="B54" s="1793"/>
      <c r="C54" s="1841"/>
      <c r="D54" s="1192"/>
      <c r="F54" s="1733"/>
      <c r="G54" s="1733"/>
      <c r="AI54" s="383"/>
    </row>
    <row r="55" spans="1:35" s="1768" customFormat="1" ht="25.15" customHeight="1" collapsed="1" thickTop="1" thickBot="1" x14ac:dyDescent="0.3">
      <c r="A55" s="1769"/>
      <c r="B55" s="2395" t="s">
        <v>1082</v>
      </c>
      <c r="C55" s="2396"/>
      <c r="D55" s="2396"/>
      <c r="E55" s="2396"/>
      <c r="F55" s="2396"/>
      <c r="G55" s="2396"/>
      <c r="H55" s="2397"/>
      <c r="AI55" s="1769"/>
    </row>
    <row r="56" spans="1:35" s="1735" customFormat="1" ht="15" hidden="1" customHeight="1" outlineLevel="1" thickTop="1" x14ac:dyDescent="0.25">
      <c r="A56" s="1745"/>
      <c r="B56" s="1797"/>
      <c r="C56" s="1812"/>
      <c r="D56" s="1748"/>
      <c r="E56" s="1748"/>
      <c r="F56" s="1749"/>
      <c r="G56" s="1748"/>
      <c r="H56" s="1750"/>
      <c r="AI56" s="1745"/>
    </row>
    <row r="57" spans="1:35" s="45" customFormat="1" ht="15" hidden="1" customHeight="1" outlineLevel="1" x14ac:dyDescent="0.25">
      <c r="A57" s="925"/>
      <c r="B57" s="1751" t="s">
        <v>1017</v>
      </c>
      <c r="C57" s="1763">
        <f>C58*C59</f>
        <v>9009864.4390287679</v>
      </c>
      <c r="D57" s="1752" t="s">
        <v>1016</v>
      </c>
      <c r="E57" s="1752"/>
      <c r="F57" s="1753">
        <f>C57/'R&amp;C-Painel de Controle'!$D$8</f>
        <v>61.711400267320329</v>
      </c>
      <c r="G57" s="1752" t="s">
        <v>342</v>
      </c>
      <c r="H57" s="1754">
        <f>F57/$F$99</f>
        <v>0.25933474810857743</v>
      </c>
      <c r="AI57" s="925"/>
    </row>
    <row r="58" spans="1:35" s="1735" customFormat="1" ht="15" hidden="1" customHeight="1" outlineLevel="1" x14ac:dyDescent="0.25">
      <c r="A58" s="1745"/>
      <c r="B58" s="1747" t="s">
        <v>1034</v>
      </c>
      <c r="C58" s="1813">
        <f>('R&amp;C-Painel de Controle'!D8-'R&amp;C-Painel de Controle'!D9)</f>
        <v>87078.05</v>
      </c>
      <c r="D58" s="1748" t="s">
        <v>298</v>
      </c>
      <c r="E58" s="1748"/>
      <c r="F58" s="1749"/>
      <c r="G58" s="1748"/>
      <c r="H58" s="1750"/>
      <c r="AI58" s="1745"/>
    </row>
    <row r="59" spans="1:35" s="1735" customFormat="1" ht="15" hidden="1" customHeight="1" outlineLevel="1" x14ac:dyDescent="0.25">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103.46883559092984</v>
      </c>
      <c r="D59" s="1765" t="s">
        <v>342</v>
      </c>
      <c r="E59" s="1765"/>
      <c r="F59" s="1766"/>
      <c r="G59" s="1765"/>
      <c r="H59" s="1767"/>
      <c r="AI59" s="1745"/>
    </row>
    <row r="60" spans="1:35" s="1735" customFormat="1" ht="15" hidden="1" customHeight="1" outlineLevel="1" x14ac:dyDescent="0.25">
      <c r="A60" s="1745"/>
      <c r="B60" s="1798"/>
      <c r="C60" s="1815"/>
      <c r="D60" s="1742"/>
      <c r="E60" s="1742"/>
      <c r="F60" s="1743"/>
      <c r="G60" s="1742"/>
      <c r="H60" s="1744"/>
      <c r="AI60" s="1745"/>
    </row>
    <row r="61" spans="1:35" s="45" customFormat="1" ht="15" hidden="1" customHeight="1" outlineLevel="1" x14ac:dyDescent="0.25">
      <c r="A61" s="925"/>
      <c r="B61" s="1738" t="s">
        <v>1036</v>
      </c>
      <c r="C61" s="1848">
        <f>IF(C68="Sim",(C62*C71+C63*C72+C64*C73+C65*C74+C66*C76+C67*C75)*C69*((1-C93)+(1-C70)*(1-C89)),0)</f>
        <v>11367731.503586518</v>
      </c>
      <c r="D61" s="1849" t="s">
        <v>1016</v>
      </c>
      <c r="E61" s="1849"/>
      <c r="F61" s="1850">
        <f>C61/'R&amp;C-Painel de Controle'!$D$8</f>
        <v>77.861174682099431</v>
      </c>
      <c r="G61" s="1849" t="s">
        <v>342</v>
      </c>
      <c r="H61" s="1851">
        <f>F61/$F$99</f>
        <v>0.32720223550514804</v>
      </c>
      <c r="AI61" s="925"/>
    </row>
    <row r="62" spans="1:35" s="1735" customFormat="1" ht="15" hidden="1" customHeight="1" outlineLevel="1" x14ac:dyDescent="0.25">
      <c r="A62" s="1745"/>
      <c r="B62" s="1741" t="str">
        <f>'R&amp;C-Painel de Controle'!J36</f>
        <v>Mat. Recicl.: Papel/Papelão — Triagem Mecanizada</v>
      </c>
      <c r="C62" s="1816">
        <f>'R&amp;C-Painel de Controle'!L36</f>
        <v>5184.0582321483053</v>
      </c>
      <c r="D62" s="1742" t="s">
        <v>298</v>
      </c>
      <c r="E62" s="1742"/>
      <c r="F62" s="1743"/>
      <c r="G62" s="1742"/>
      <c r="H62" s="1744"/>
      <c r="AI62" s="1745"/>
    </row>
    <row r="63" spans="1:35" s="1735" customFormat="1" ht="15" hidden="1" customHeight="1" outlineLevel="1" x14ac:dyDescent="0.25">
      <c r="A63" s="1745"/>
      <c r="B63" s="1747" t="str">
        <f>'R&amp;C-Painel de Controle'!J37</f>
        <v>Mat. Recicl.: Plástico Filme — Triagem Mecanizada</v>
      </c>
      <c r="C63" s="1813">
        <f>'R&amp;C-Painel de Controle'!L37</f>
        <v>3521.9937607725124</v>
      </c>
      <c r="D63" s="1748" t="s">
        <v>298</v>
      </c>
      <c r="E63" s="1748"/>
      <c r="F63" s="1749"/>
      <c r="G63" s="1748"/>
      <c r="H63" s="1750"/>
      <c r="AI63" s="1745"/>
    </row>
    <row r="64" spans="1:35" s="1735" customFormat="1" ht="15" hidden="1" customHeight="1" outlineLevel="1" x14ac:dyDescent="0.25">
      <c r="A64" s="1745"/>
      <c r="B64" s="1747" t="str">
        <f>'R&amp;C-Painel de Controle'!J38</f>
        <v>Mat. Recicl.: Plástico Rígido — Triagem Mecanizada</v>
      </c>
      <c r="C64" s="1813">
        <f>'R&amp;C-Painel de Controle'!L38</f>
        <v>1820.3563257925346</v>
      </c>
      <c r="D64" s="1748" t="s">
        <v>298</v>
      </c>
      <c r="E64" s="1748"/>
      <c r="F64" s="1749"/>
      <c r="G64" s="1748"/>
      <c r="H64" s="1750"/>
      <c r="AI64" s="1745"/>
    </row>
    <row r="65" spans="1:35" s="1735" customFormat="1" ht="15" hidden="1" customHeight="1" outlineLevel="1" x14ac:dyDescent="0.25">
      <c r="A65" s="1745"/>
      <c r="B65" s="1747" t="str">
        <f>'R&amp;C-Painel de Controle'!J39</f>
        <v>Mat. Recicl.: Vidros — Triagem Mecânica</v>
      </c>
      <c r="C65" s="1813">
        <f>'R&amp;C-Painel de Controle'!L39</f>
        <v>949.75112650045298</v>
      </c>
      <c r="D65" s="1748" t="s">
        <v>298</v>
      </c>
      <c r="E65" s="1748"/>
      <c r="F65" s="1749"/>
      <c r="G65" s="1748"/>
      <c r="H65" s="1750"/>
      <c r="AI65" s="1745"/>
    </row>
    <row r="66" spans="1:35" s="1735" customFormat="1" ht="15" hidden="1" customHeight="1" outlineLevel="1" x14ac:dyDescent="0.25">
      <c r="A66" s="1745"/>
      <c r="B66" s="1747" t="str">
        <f>'R&amp;C-Painel de Controle'!J40</f>
        <v>Mat. Recicl.: Metais Não Ferrosos — Triagem Mecanizada</v>
      </c>
      <c r="C66" s="1813">
        <f>'R&amp;C-Painel de Controle'!L40</f>
        <v>237.43778162511325</v>
      </c>
      <c r="D66" s="1748" t="s">
        <v>298</v>
      </c>
      <c r="E66" s="1748"/>
      <c r="F66" s="1749"/>
      <c r="G66" s="1748"/>
      <c r="H66" s="1750"/>
      <c r="AI66" s="1745"/>
    </row>
    <row r="67" spans="1:35" s="1735" customFormat="1" ht="15" hidden="1" customHeight="1" outlineLevel="1" x14ac:dyDescent="0.25">
      <c r="A67" s="1745"/>
      <c r="B67" s="1747" t="str">
        <f>'R&amp;C-Painel de Controle'!J41</f>
        <v>Mat. Recicl.: Metais Ferrosos — Triagem Mecanizada</v>
      </c>
      <c r="C67" s="1813">
        <f>'R&amp;C-Painel de Controle'!L41</f>
        <v>910.17816289626728</v>
      </c>
      <c r="D67" s="1748" t="s">
        <v>298</v>
      </c>
      <c r="E67" s="1748"/>
      <c r="F67" s="1749"/>
      <c r="G67" s="1748"/>
      <c r="H67" s="1750"/>
      <c r="AI67" s="1745"/>
    </row>
    <row r="68" spans="1:35" s="1735" customFormat="1" ht="15" hidden="1" customHeight="1" outlineLevel="1" x14ac:dyDescent="0.25">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25">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25">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25">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25">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25">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25">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25">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25">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25">
      <c r="A77" s="1745"/>
      <c r="B77" s="1797"/>
      <c r="C77" s="1812"/>
      <c r="D77" s="1748"/>
      <c r="E77" s="1748"/>
      <c r="F77" s="1749"/>
      <c r="G77" s="1748"/>
      <c r="H77" s="1750"/>
      <c r="AI77" s="1745"/>
    </row>
    <row r="78" spans="1:35" ht="15" hidden="1" customHeight="1" outlineLevel="1" x14ac:dyDescent="0.25">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3083673.7763813799</v>
      </c>
      <c r="D78" s="1758" t="s">
        <v>1016</v>
      </c>
      <c r="E78" s="1758"/>
      <c r="F78" s="1776">
        <f>C78/'R&amp;C-Painel de Controle'!$D$8</f>
        <v>21.121053262886164</v>
      </c>
      <c r="G78" s="1758" t="s">
        <v>342</v>
      </c>
      <c r="H78" s="1852">
        <f>F78/$F$99</f>
        <v>8.8758689707111302E-2</v>
      </c>
    </row>
    <row r="79" spans="1:35" ht="15" hidden="1" customHeight="1" outlineLevel="1" x14ac:dyDescent="0.25">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4317143.2869339315</v>
      </c>
      <c r="D79" s="1758" t="s">
        <v>1016</v>
      </c>
      <c r="E79" s="1758"/>
      <c r="F79" s="1776">
        <f>C79/'R&amp;C-Painel de Controle'!$D$8</f>
        <v>29.569474568040626</v>
      </c>
      <c r="G79" s="1758" t="s">
        <v>342</v>
      </c>
      <c r="H79" s="1852">
        <f>F79/$F$99</f>
        <v>0.12426216558995581</v>
      </c>
    </row>
    <row r="80" spans="1:35" s="1735" customFormat="1" ht="15" hidden="1" customHeight="1" outlineLevel="1" x14ac:dyDescent="0.25">
      <c r="A80" s="1745"/>
      <c r="B80" s="1797"/>
      <c r="C80" s="1812"/>
      <c r="D80" s="1748"/>
      <c r="E80" s="1748"/>
      <c r="F80" s="1749"/>
      <c r="G80" s="1748"/>
      <c r="H80" s="1750"/>
      <c r="AI80" s="1745"/>
    </row>
    <row r="81" spans="1:35" ht="15" hidden="1" customHeight="1" outlineLevel="1" x14ac:dyDescent="0.25">
      <c r="B81" s="1853" t="s">
        <v>1031</v>
      </c>
      <c r="C81" s="1854">
        <f>(C82*C83+C84*C85)*C86</f>
        <v>1824186.927506933</v>
      </c>
      <c r="D81" s="1855" t="s">
        <v>1016</v>
      </c>
      <c r="E81" s="1855"/>
      <c r="F81" s="1856">
        <f>C81/'R&amp;C-Painel de Controle'!$D$8</f>
        <v>12.494431010321458</v>
      </c>
      <c r="G81" s="1855" t="s">
        <v>342</v>
      </c>
      <c r="H81" s="1857">
        <f>F81/$F$99</f>
        <v>5.2506345744638756E-2</v>
      </c>
    </row>
    <row r="82" spans="1:35" ht="15" hidden="1" customHeight="1" outlineLevel="1" x14ac:dyDescent="0.25">
      <c r="B82" s="1755" t="s">
        <v>1037</v>
      </c>
      <c r="C82" s="1786">
        <f>'R&amp;C-Painel de Controle'!D8</f>
        <v>146000</v>
      </c>
      <c r="D82" s="1745" t="s">
        <v>298</v>
      </c>
      <c r="E82" s="1745"/>
      <c r="F82" s="1771"/>
      <c r="G82" s="1745"/>
      <c r="H82" s="1772"/>
    </row>
    <row r="83" spans="1:35" ht="15" hidden="1" customHeight="1" outlineLevel="1" x14ac:dyDescent="0.25">
      <c r="B83" s="1755" t="s">
        <v>1038</v>
      </c>
      <c r="C83" s="1786">
        <f>'R&amp;C-Painel de Controle'!D33</f>
        <v>237.54494967426146</v>
      </c>
      <c r="D83" s="1745" t="s">
        <v>342</v>
      </c>
      <c r="E83" s="1745"/>
      <c r="F83" s="1771"/>
      <c r="G83" s="1745"/>
      <c r="H83" s="1772"/>
    </row>
    <row r="84" spans="1:35" ht="15" hidden="1" customHeight="1" outlineLevel="1" x14ac:dyDescent="0.25">
      <c r="B84" s="1755" t="s">
        <v>1039</v>
      </c>
      <c r="C84" s="1786">
        <f>'R&amp;C-Painel de Controle'!D31*312</f>
        <v>18720</v>
      </c>
      <c r="D84" s="1745" t="s">
        <v>298</v>
      </c>
      <c r="E84" s="1745"/>
      <c r="F84" s="1771"/>
      <c r="G84" s="1745"/>
      <c r="H84" s="1772"/>
    </row>
    <row r="85" spans="1:35" ht="15" hidden="1" customHeight="1" outlineLevel="1" x14ac:dyDescent="0.25">
      <c r="B85" s="1755" t="s">
        <v>1040</v>
      </c>
      <c r="C85" s="1786">
        <f>'R&amp;C-Painel de Controle'!H31</f>
        <v>96.270080005154213</v>
      </c>
      <c r="D85" s="1745" t="s">
        <v>342</v>
      </c>
      <c r="E85" s="1745"/>
      <c r="F85" s="1771"/>
      <c r="G85" s="1745"/>
      <c r="H85" s="1772"/>
    </row>
    <row r="86" spans="1:35" ht="15" hidden="1" customHeight="1" outlineLevel="1" x14ac:dyDescent="0.25">
      <c r="B86" s="1756" t="s">
        <v>1041</v>
      </c>
      <c r="C86" s="1818">
        <f>'C-FCL Real'!C10</f>
        <v>0.05</v>
      </c>
      <c r="D86" s="1757" t="s">
        <v>195</v>
      </c>
      <c r="E86" s="1757"/>
      <c r="F86" s="1773"/>
      <c r="G86" s="1757"/>
      <c r="H86" s="1774"/>
    </row>
    <row r="87" spans="1:35" s="1735" customFormat="1" ht="15" hidden="1" customHeight="1" outlineLevel="1" x14ac:dyDescent="0.25">
      <c r="A87" s="1745"/>
      <c r="B87" s="1797"/>
      <c r="C87" s="1812"/>
      <c r="D87" s="1748"/>
      <c r="E87" s="1748"/>
      <c r="F87" s="1749"/>
      <c r="G87" s="1748"/>
      <c r="H87" s="1750"/>
      <c r="AI87" s="1745"/>
    </row>
    <row r="88" spans="1:35" ht="15" hidden="1" customHeight="1" outlineLevel="1" x14ac:dyDescent="0.25">
      <c r="B88" s="1853" t="s">
        <v>1032</v>
      </c>
      <c r="C88" s="1854">
        <f>(C62*C71+C63*C72+C64*C73+C65*C74+C66*C76+C67*C75)*C89*C90</f>
        <v>217564.23930309125</v>
      </c>
      <c r="D88" s="1855" t="s">
        <v>1016</v>
      </c>
      <c r="E88" s="1855"/>
      <c r="F88" s="1856">
        <f>C88/'R&amp;C-Painel de Controle'!$D$8</f>
        <v>1.4901660226239126</v>
      </c>
      <c r="G88" s="1855" t="s">
        <v>342</v>
      </c>
      <c r="H88" s="1857">
        <f>F88/$F$99</f>
        <v>6.2622437417253216E-3</v>
      </c>
    </row>
    <row r="89" spans="1:35" ht="15" hidden="1" customHeight="1" outlineLevel="1" x14ac:dyDescent="0.25">
      <c r="B89" s="1756" t="s">
        <v>1060</v>
      </c>
      <c r="C89" s="1818">
        <f>'C-FCL Real'!C11</f>
        <v>0.12</v>
      </c>
      <c r="D89" s="1757" t="s">
        <v>195</v>
      </c>
      <c r="E89" s="1757"/>
      <c r="F89" s="1773"/>
      <c r="G89" s="1757"/>
      <c r="H89" s="1774"/>
    </row>
    <row r="90" spans="1:35" ht="15" hidden="1" customHeight="1" outlineLevel="1" x14ac:dyDescent="0.25">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25">
      <c r="A91" s="1745"/>
      <c r="B91" s="1797"/>
      <c r="C91" s="1812"/>
      <c r="D91" s="1748"/>
      <c r="E91" s="1748"/>
      <c r="F91" s="1749"/>
      <c r="G91" s="1748"/>
      <c r="H91" s="1750"/>
      <c r="AI91" s="1745"/>
    </row>
    <row r="92" spans="1:35" ht="15" hidden="1" customHeight="1" outlineLevel="1" x14ac:dyDescent="0.25">
      <c r="B92" s="1853" t="s">
        <v>1033</v>
      </c>
      <c r="C92" s="1854">
        <f>'R&amp;C-Painel de Controle'!D33*'R&amp;C-Painel de Controle'!D8*(C93)+C36*1000000/'R&amp;C-Painel de Controle'!D32</f>
        <v>4922054.1560447989</v>
      </c>
      <c r="D92" s="1855" t="s">
        <v>1016</v>
      </c>
      <c r="E92" s="1858"/>
      <c r="F92" s="1859">
        <f>C92/'R&amp;C-Painel de Controle'!$D$8</f>
        <v>33.71269969893698</v>
      </c>
      <c r="G92" s="1858" t="s">
        <v>342</v>
      </c>
      <c r="H92" s="1860">
        <f>F92/$F$99</f>
        <v>0.14167357160284338</v>
      </c>
    </row>
    <row r="93" spans="1:35" s="1783" customFormat="1" ht="15" hidden="1" customHeight="1" outlineLevel="1" x14ac:dyDescent="0.25">
      <c r="A93" s="383"/>
      <c r="B93" s="1756" t="s">
        <v>1070</v>
      </c>
      <c r="C93" s="1819">
        <v>9.2499999999999999E-2</v>
      </c>
      <c r="D93" s="1757" t="s">
        <v>195</v>
      </c>
      <c r="E93" s="1757"/>
      <c r="F93" s="1773"/>
      <c r="G93" s="1757"/>
      <c r="H93" s="1774"/>
      <c r="AI93" s="383"/>
    </row>
    <row r="94" spans="1:35" ht="15" hidden="1" customHeight="1" outlineLevel="1" x14ac:dyDescent="0.25">
      <c r="B94" s="1755" t="s">
        <v>1037</v>
      </c>
      <c r="C94" s="1786">
        <f>C82</f>
        <v>146000</v>
      </c>
      <c r="D94" s="1745" t="s">
        <v>298</v>
      </c>
      <c r="E94" s="1745"/>
      <c r="F94" s="1771"/>
      <c r="G94" s="1745"/>
      <c r="H94" s="1772"/>
    </row>
    <row r="95" spans="1:35" ht="15" hidden="1" customHeight="1" outlineLevel="1" x14ac:dyDescent="0.25">
      <c r="B95" s="1755" t="s">
        <v>1038</v>
      </c>
      <c r="C95" s="1786">
        <f>C83</f>
        <v>237.54494967426146</v>
      </c>
      <c r="D95" s="1745" t="s">
        <v>342</v>
      </c>
      <c r="E95" s="1745"/>
      <c r="F95" s="1771"/>
      <c r="G95" s="1745"/>
      <c r="H95" s="1772"/>
    </row>
    <row r="96" spans="1:35" ht="15" hidden="1" customHeight="1" outlineLevel="1" x14ac:dyDescent="0.25">
      <c r="B96" s="1755" t="s">
        <v>1039</v>
      </c>
      <c r="C96" s="1786">
        <f>C84</f>
        <v>18720</v>
      </c>
      <c r="D96" s="1745" t="s">
        <v>298</v>
      </c>
      <c r="E96" s="1745"/>
      <c r="F96" s="1771"/>
      <c r="G96" s="1745"/>
      <c r="H96" s="1772"/>
    </row>
    <row r="97" spans="1:35" ht="15" hidden="1" customHeight="1" outlineLevel="1" x14ac:dyDescent="0.25">
      <c r="B97" s="1755" t="s">
        <v>1040</v>
      </c>
      <c r="C97" s="1786">
        <f>C85</f>
        <v>96.270080005154213</v>
      </c>
      <c r="D97" s="1745" t="s">
        <v>342</v>
      </c>
      <c r="E97" s="1745"/>
      <c r="F97" s="1771"/>
      <c r="G97" s="1745"/>
      <c r="H97" s="1772"/>
    </row>
    <row r="98" spans="1:35" s="1735" customFormat="1" ht="15" hidden="1" customHeight="1" outlineLevel="1" thickBot="1" x14ac:dyDescent="0.3">
      <c r="A98" s="1745"/>
      <c r="B98" s="1799"/>
      <c r="C98" s="1820"/>
      <c r="D98" s="1770"/>
      <c r="E98" s="1770"/>
      <c r="F98" s="1770"/>
      <c r="G98" s="1770"/>
      <c r="H98" s="1770"/>
      <c r="AI98" s="1745"/>
    </row>
    <row r="99" spans="1:35" s="42" customFormat="1" ht="15" hidden="1" customHeight="1" outlineLevel="1" thickTop="1" x14ac:dyDescent="0.25">
      <c r="A99" s="1740"/>
      <c r="B99" s="1861" t="s">
        <v>1020</v>
      </c>
      <c r="C99" s="1862">
        <f>C57+C61+C78+C79+C81+C88+C92</f>
        <v>34742218.328785419</v>
      </c>
      <c r="D99" s="1863" t="s">
        <v>1016</v>
      </c>
      <c r="E99" s="1864"/>
      <c r="F99" s="1865">
        <f>C99/'R&amp;C-Painel de Controle'!$D$8</f>
        <v>237.96039951222889</v>
      </c>
      <c r="G99" s="1864" t="s">
        <v>342</v>
      </c>
      <c r="H99" s="1866">
        <f>F99/$F$99</f>
        <v>1</v>
      </c>
      <c r="AI99" s="1740"/>
    </row>
    <row r="100" spans="1:35" ht="15" customHeight="1" thickTop="1" thickBot="1" x14ac:dyDescent="0.3">
      <c r="B100" s="1793"/>
      <c r="C100" s="1805"/>
      <c r="D100" s="1735"/>
      <c r="E100" s="1735"/>
      <c r="F100" s="1735"/>
      <c r="G100" s="1735"/>
      <c r="H100" s="1735"/>
    </row>
    <row r="101" spans="1:35" s="1783" customFormat="1" ht="25.15" customHeight="1" collapsed="1" thickTop="1" thickBot="1" x14ac:dyDescent="0.3">
      <c r="A101" s="383"/>
      <c r="B101" s="2395" t="s">
        <v>1083</v>
      </c>
      <c r="C101" s="2396"/>
      <c r="D101" s="2396"/>
      <c r="E101" s="2396"/>
      <c r="F101" s="2396"/>
      <c r="G101" s="2396"/>
      <c r="H101" s="2397"/>
      <c r="AI101" s="383"/>
    </row>
    <row r="102" spans="1:35" ht="15" hidden="1" customHeight="1" outlineLevel="1" thickTop="1" x14ac:dyDescent="0.25">
      <c r="B102" s="1915" t="s">
        <v>290</v>
      </c>
      <c r="C102" s="1874">
        <f>'R&amp;C-Painel de Controle'!D6</f>
        <v>411597</v>
      </c>
      <c r="D102" s="1735" t="s">
        <v>291</v>
      </c>
      <c r="F102" s="40"/>
      <c r="G102" s="1762"/>
    </row>
    <row r="103" spans="1:35" ht="15" hidden="1" customHeight="1" outlineLevel="1" x14ac:dyDescent="0.25">
      <c r="B103" s="1873" t="s">
        <v>1069</v>
      </c>
      <c r="C103" s="1874">
        <f>'R&amp;C-Painel de Controle'!D8</f>
        <v>146000</v>
      </c>
      <c r="D103" s="1875" t="s">
        <v>298</v>
      </c>
      <c r="E103" s="1876"/>
      <c r="F103" s="1876"/>
      <c r="G103" s="1876"/>
      <c r="H103" s="1876"/>
    </row>
    <row r="104" spans="1:35" s="1783" customFormat="1" ht="15" hidden="1" customHeight="1" outlineLevel="1" x14ac:dyDescent="0.25">
      <c r="A104" s="383"/>
      <c r="B104" s="1873" t="s">
        <v>1069</v>
      </c>
      <c r="C104" s="1874">
        <f>C103/312</f>
        <v>467.94871794871796</v>
      </c>
      <c r="D104" s="1875" t="s">
        <v>21</v>
      </c>
      <c r="E104" s="1876"/>
      <c r="F104" s="1876"/>
      <c r="G104" s="1876"/>
      <c r="H104" s="1876"/>
      <c r="AI104" s="383"/>
    </row>
    <row r="105" spans="1:35" ht="15" hidden="1" customHeight="1" outlineLevel="1" x14ac:dyDescent="0.25">
      <c r="B105" s="1877" t="s">
        <v>1071</v>
      </c>
      <c r="C105" s="1874">
        <f>'R&amp;C-Painel de Controle'!D48</f>
        <v>158291.85441674214</v>
      </c>
      <c r="D105" s="1875" t="s">
        <v>298</v>
      </c>
      <c r="E105" s="1876"/>
      <c r="F105" s="1876"/>
      <c r="G105" s="1876"/>
      <c r="H105" s="1876"/>
    </row>
    <row r="106" spans="1:35" s="1783" customFormat="1" ht="15" hidden="1" customHeight="1" outlineLevel="1" x14ac:dyDescent="0.25">
      <c r="A106" s="383"/>
      <c r="B106" s="1877" t="s">
        <v>1086</v>
      </c>
      <c r="C106" s="1874">
        <f>C105/312</f>
        <v>507.34568723314788</v>
      </c>
      <c r="D106" s="1875" t="s">
        <v>21</v>
      </c>
      <c r="E106" s="1876"/>
      <c r="F106" s="1876"/>
      <c r="G106" s="1876"/>
      <c r="H106" s="1876"/>
      <c r="AI106" s="383"/>
    </row>
    <row r="107" spans="1:35" s="1783" customFormat="1" ht="15" hidden="1" customHeight="1" outlineLevel="1" x14ac:dyDescent="0.25">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25">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6749.0783004807699</v>
      </c>
      <c r="D108" s="1880" t="s">
        <v>306</v>
      </c>
      <c r="E108" s="1876"/>
      <c r="F108" s="1876"/>
      <c r="G108" s="1876"/>
      <c r="H108" s="1876"/>
      <c r="AI108" s="383"/>
    </row>
    <row r="109" spans="1:35" s="1783" customFormat="1" ht="15" hidden="1" customHeight="1" outlineLevel="1" x14ac:dyDescent="0.25">
      <c r="A109" s="383"/>
      <c r="B109" s="1878" t="s">
        <v>1079</v>
      </c>
      <c r="C109" s="1881">
        <f>'R&amp;C-Painel de Controle'!D68</f>
        <v>0</v>
      </c>
      <c r="D109" s="1882" t="s">
        <v>331</v>
      </c>
      <c r="E109" s="1876"/>
      <c r="F109" s="1876"/>
      <c r="G109" s="1876"/>
      <c r="H109" s="1876"/>
      <c r="AI109" s="383"/>
    </row>
    <row r="110" spans="1:35" ht="15" hidden="1" customHeight="1" outlineLevel="1" thickBot="1" x14ac:dyDescent="0.3"/>
    <row r="111" spans="1:35" ht="15" hidden="1" customHeight="1" outlineLevel="1" thickTop="1" x14ac:dyDescent="0.25">
      <c r="B111" s="1825" t="s">
        <v>1072</v>
      </c>
      <c r="C111" s="1837"/>
      <c r="D111" s="1826"/>
      <c r="E111" s="1826"/>
      <c r="F111" s="1826"/>
      <c r="G111" s="1826"/>
      <c r="H111" s="1826"/>
    </row>
    <row r="112" spans="1:35" s="1735" customFormat="1" ht="15" hidden="1" customHeight="1" outlineLevel="1" x14ac:dyDescent="0.25">
      <c r="A112" s="1745"/>
      <c r="B112" s="1883"/>
      <c r="C112" s="1887">
        <f>'R-Resumo Bal. Massa'!G51</f>
        <v>65.75615384615385</v>
      </c>
      <c r="D112" s="1884" t="s">
        <v>1065</v>
      </c>
      <c r="E112" s="1885"/>
      <c r="F112" s="1885"/>
      <c r="G112" s="1885"/>
      <c r="H112" s="1885"/>
      <c r="AI112" s="1745"/>
    </row>
    <row r="113" spans="1:35" ht="15" hidden="1" customHeight="1" outlineLevel="1" x14ac:dyDescent="0.25">
      <c r="B113" s="1793"/>
      <c r="C113" s="1809">
        <f>C112*312*$C$106/$C$104/1000</f>
        <v>22.243171382640607</v>
      </c>
      <c r="D113" s="1827" t="s">
        <v>1063</v>
      </c>
      <c r="E113" s="1192"/>
      <c r="F113" s="1192"/>
      <c r="G113" s="1192"/>
      <c r="H113" s="1192"/>
    </row>
    <row r="114" spans="1:35" ht="15" hidden="1" customHeight="1" outlineLevel="1" x14ac:dyDescent="0.25">
      <c r="B114" s="1832" t="s">
        <v>1073</v>
      </c>
      <c r="C114" s="1839"/>
      <c r="D114" s="1833"/>
      <c r="E114" s="1833"/>
      <c r="F114" s="1833"/>
      <c r="G114" s="1833"/>
      <c r="H114" s="1833"/>
    </row>
    <row r="115" spans="1:35" s="1735" customFormat="1" ht="15" hidden="1" customHeight="1" outlineLevel="1" x14ac:dyDescent="0.25">
      <c r="A115" s="1745"/>
      <c r="B115" s="1883"/>
      <c r="C115" s="1887">
        <f>'R-Resumo Bal. Massa'!G49</f>
        <v>188.85240384615383</v>
      </c>
      <c r="D115" s="1884" t="s">
        <v>1065</v>
      </c>
      <c r="E115" s="1885"/>
      <c r="F115" s="1885"/>
      <c r="G115" s="1885"/>
      <c r="H115" s="1885"/>
      <c r="AI115" s="1745"/>
    </row>
    <row r="116" spans="1:35" ht="15" hidden="1" customHeight="1" outlineLevel="1" x14ac:dyDescent="0.25">
      <c r="B116" s="1834"/>
      <c r="C116" s="1809">
        <f>C115*312*$C$106/$C$104/1000</f>
        <v>63.882635146236701</v>
      </c>
      <c r="D116" s="1835" t="s">
        <v>1063</v>
      </c>
      <c r="E116" s="1836"/>
      <c r="F116" s="1836"/>
      <c r="G116" s="1836"/>
      <c r="H116" s="1836"/>
    </row>
    <row r="117" spans="1:35" ht="15" hidden="1" customHeight="1" outlineLevel="1" x14ac:dyDescent="0.25">
      <c r="B117" s="1828" t="s">
        <v>1074</v>
      </c>
      <c r="C117" s="1838"/>
      <c r="D117" s="1192"/>
      <c r="E117" s="1192"/>
      <c r="F117" s="1192"/>
      <c r="G117" s="1192"/>
      <c r="H117" s="1192"/>
    </row>
    <row r="118" spans="1:35" s="1735" customFormat="1" ht="15" hidden="1" customHeight="1" outlineLevel="1" x14ac:dyDescent="0.25">
      <c r="A118" s="1745"/>
      <c r="B118" s="1883"/>
      <c r="C118" s="1887">
        <f>'R-Resumo Bal. Massa'!G50</f>
        <v>213.34016025641029</v>
      </c>
      <c r="D118" s="1884" t="s">
        <v>1065</v>
      </c>
      <c r="E118" s="1885"/>
      <c r="F118" s="1885"/>
      <c r="G118" s="1885"/>
      <c r="H118" s="1885"/>
      <c r="AI118" s="1745"/>
    </row>
    <row r="119" spans="1:35" ht="15" hidden="1" customHeight="1" outlineLevel="1" thickBot="1" x14ac:dyDescent="0.3">
      <c r="B119" s="1829"/>
      <c r="C119" s="1913">
        <f>C118*312*$C$106/$C$104/1000</f>
        <v>72.166047887864835</v>
      </c>
      <c r="D119" s="1830" t="s">
        <v>1063</v>
      </c>
      <c r="E119" s="1831"/>
      <c r="F119" s="1831"/>
      <c r="G119" s="1831"/>
      <c r="H119" s="1831"/>
    </row>
    <row r="120" spans="1:35" ht="15" hidden="1" customHeight="1" outlineLevel="1" thickTop="1" thickBot="1" x14ac:dyDescent="0.3">
      <c r="C120" s="1824"/>
    </row>
    <row r="121" spans="1:35" ht="15" hidden="1" customHeight="1" outlineLevel="1" thickTop="1" x14ac:dyDescent="0.25">
      <c r="B121" s="2391" t="s">
        <v>1075</v>
      </c>
      <c r="C121" s="1840"/>
      <c r="D121" s="1826"/>
      <c r="E121" s="1826"/>
      <c r="F121" s="1826"/>
      <c r="G121" s="1826"/>
      <c r="H121" s="1826"/>
    </row>
    <row r="122" spans="1:35" s="1783" customFormat="1" ht="15" hidden="1" customHeight="1" outlineLevel="1" x14ac:dyDescent="0.25">
      <c r="A122" s="383"/>
      <c r="B122" s="2389"/>
      <c r="C122" s="1888">
        <f>'R-Resumo Bal. Massa'!D64</f>
        <v>37.318910256410263</v>
      </c>
      <c r="D122" s="1880" t="s">
        <v>1065</v>
      </c>
      <c r="E122" s="1876"/>
      <c r="F122" s="1876"/>
      <c r="G122" s="1876"/>
      <c r="H122" s="1876"/>
      <c r="AI122" s="383"/>
    </row>
    <row r="123" spans="1:35" s="1783" customFormat="1" ht="15" hidden="1" customHeight="1" outlineLevel="1" x14ac:dyDescent="0.25">
      <c r="A123" s="383"/>
      <c r="B123" s="2390"/>
      <c r="C123" s="1809">
        <f>C122*312*$C$106/$C$104/1000</f>
        <v>12.623775389735187</v>
      </c>
      <c r="D123" s="1827" t="s">
        <v>1063</v>
      </c>
      <c r="E123" s="1192"/>
      <c r="F123" s="1192"/>
      <c r="G123" s="1192"/>
      <c r="H123" s="1192"/>
      <c r="AI123" s="383"/>
    </row>
    <row r="124" spans="1:35" ht="15" hidden="1" customHeight="1" outlineLevel="1" x14ac:dyDescent="0.25">
      <c r="B124" s="2388" t="s">
        <v>1081</v>
      </c>
      <c r="C124" s="1839"/>
      <c r="D124" s="1833"/>
      <c r="E124" s="1833"/>
      <c r="F124" s="1833"/>
      <c r="G124" s="1833"/>
      <c r="H124" s="1833"/>
    </row>
    <row r="125" spans="1:35" s="1783" customFormat="1" ht="15" hidden="1" customHeight="1" outlineLevel="1" x14ac:dyDescent="0.25">
      <c r="A125" s="383"/>
      <c r="B125" s="2389"/>
      <c r="C125" s="1888">
        <f>'R-Resumo Bal. Massa'!D73</f>
        <v>84.020192307692298</v>
      </c>
      <c r="D125" s="1880" t="s">
        <v>1065</v>
      </c>
      <c r="E125" s="1876"/>
      <c r="F125" s="1876"/>
      <c r="G125" s="1876"/>
      <c r="H125" s="1876"/>
      <c r="AI125" s="383"/>
    </row>
    <row r="126" spans="1:35" s="1783" customFormat="1" ht="15" hidden="1" customHeight="1" outlineLevel="1" x14ac:dyDescent="0.25">
      <c r="A126" s="383"/>
      <c r="B126" s="2390"/>
      <c r="C126" s="1809">
        <f>C125*312*$C$106/$C$104/1000</f>
        <v>28.421302460526046</v>
      </c>
      <c r="D126" s="1827" t="s">
        <v>1063</v>
      </c>
      <c r="E126" s="1192"/>
      <c r="F126" s="1192"/>
      <c r="G126" s="1192"/>
      <c r="H126" s="1192"/>
      <c r="AI126" s="383"/>
    </row>
    <row r="127" spans="1:35" ht="15" hidden="1" customHeight="1" outlineLevel="1" x14ac:dyDescent="0.25">
      <c r="B127" s="2388" t="s">
        <v>1064</v>
      </c>
      <c r="C127" s="1839"/>
      <c r="D127" s="1833"/>
      <c r="E127" s="1833"/>
      <c r="F127" s="1833"/>
      <c r="G127" s="1833"/>
      <c r="H127" s="1833"/>
    </row>
    <row r="128" spans="1:35" s="1783" customFormat="1" ht="15" hidden="1" customHeight="1" outlineLevel="1" x14ac:dyDescent="0.25">
      <c r="A128" s="383"/>
      <c r="B128" s="2389"/>
      <c r="C128" s="1888">
        <f>'R-Resumo Bal. Massa'!D69</f>
        <v>92.001057692307697</v>
      </c>
      <c r="D128" s="1880" t="s">
        <v>1065</v>
      </c>
      <c r="E128" s="1876"/>
      <c r="F128" s="1876"/>
      <c r="G128" s="1876"/>
      <c r="H128" s="1876"/>
      <c r="AI128" s="383"/>
    </row>
    <row r="129" spans="1:35" s="1783" customFormat="1" ht="15" hidden="1" customHeight="1" outlineLevel="1" x14ac:dyDescent="0.25">
      <c r="A129" s="383"/>
      <c r="B129" s="2390"/>
      <c r="C129" s="1809">
        <f>C128*312*$C$106/$C$104/1000</f>
        <v>31.120970037603588</v>
      </c>
      <c r="D129" s="1835" t="s">
        <v>1063</v>
      </c>
      <c r="E129" s="1836"/>
      <c r="F129" s="1836"/>
      <c r="G129" s="1836"/>
      <c r="H129" s="1836"/>
      <c r="AI129" s="383"/>
    </row>
    <row r="130" spans="1:35" ht="15" hidden="1" customHeight="1" outlineLevel="1" x14ac:dyDescent="0.25">
      <c r="B130" s="2388" t="s">
        <v>1123</v>
      </c>
      <c r="C130" s="2100">
        <f>IF('R-Definição'!E112&gt;0,'R-Definição'!O111/'R-Definição'!E112,0)</f>
        <v>0</v>
      </c>
      <c r="D130" s="1796" t="s">
        <v>1122</v>
      </c>
      <c r="E130" s="1192"/>
      <c r="F130" s="1192"/>
      <c r="G130" s="1192"/>
      <c r="H130" s="1192"/>
    </row>
    <row r="131" spans="1:35" s="1783" customFormat="1" ht="15" hidden="1" customHeight="1" outlineLevel="1" x14ac:dyDescent="0.25">
      <c r="A131" s="383"/>
      <c r="B131" s="2389"/>
      <c r="C131" s="2101">
        <f>C130*C106</f>
        <v>0</v>
      </c>
      <c r="D131" s="1880" t="s">
        <v>1067</v>
      </c>
      <c r="E131" s="1876"/>
      <c r="F131" s="1876"/>
      <c r="G131" s="1876"/>
      <c r="H131" s="1876"/>
      <c r="AI131" s="383"/>
    </row>
    <row r="132" spans="1:35" s="1783" customFormat="1" ht="15" hidden="1" customHeight="1" outlineLevel="1" x14ac:dyDescent="0.25">
      <c r="A132" s="383"/>
      <c r="B132" s="2390"/>
      <c r="C132" s="1867">
        <f>C130*C105/1000</f>
        <v>0</v>
      </c>
      <c r="D132" s="1835" t="s">
        <v>306</v>
      </c>
      <c r="E132" s="1836"/>
      <c r="F132" s="1836"/>
      <c r="G132" s="1836"/>
      <c r="H132" s="1836"/>
      <c r="AI132" s="383"/>
    </row>
    <row r="133" spans="1:35" s="2099" customFormat="1" ht="15" hidden="1" customHeight="1" outlineLevel="1" x14ac:dyDescent="0.25">
      <c r="A133" s="383"/>
      <c r="B133" s="2388" t="s">
        <v>1124</v>
      </c>
      <c r="C133" s="1838">
        <f>IF(AND('R-Definição'!O62&gt;0,'R-Definição'!J65&gt;0),('R-Definição'!O69/('R-Definição'!O62*'R-Definição'!J65/100)),0)</f>
        <v>0</v>
      </c>
      <c r="D133" s="1796" t="s">
        <v>1095</v>
      </c>
      <c r="E133" s="1192"/>
      <c r="F133" s="1192"/>
      <c r="G133" s="1192"/>
      <c r="H133" s="1192"/>
      <c r="AI133" s="383"/>
    </row>
    <row r="134" spans="1:35" s="2099" customFormat="1" ht="15" hidden="1" customHeight="1" outlineLevel="1" x14ac:dyDescent="0.25">
      <c r="A134" s="383"/>
      <c r="B134" s="2389"/>
      <c r="C134" s="1916">
        <f>C133*C106*C107</f>
        <v>0</v>
      </c>
      <c r="D134" s="1880" t="s">
        <v>1067</v>
      </c>
      <c r="E134" s="1876"/>
      <c r="F134" s="1876"/>
      <c r="G134" s="1876"/>
      <c r="H134" s="1876"/>
      <c r="AI134" s="383"/>
    </row>
    <row r="135" spans="1:35" s="2099" customFormat="1" ht="15" hidden="1" customHeight="1" outlineLevel="1" x14ac:dyDescent="0.25">
      <c r="A135" s="383"/>
      <c r="B135" s="2390"/>
      <c r="C135" s="1867">
        <f>C133*C105*C107/1000</f>
        <v>0</v>
      </c>
      <c r="D135" s="1835" t="s">
        <v>306</v>
      </c>
      <c r="E135" s="1836"/>
      <c r="F135" s="1836"/>
      <c r="G135" s="1836"/>
      <c r="H135" s="1836"/>
      <c r="AI135" s="383"/>
    </row>
    <row r="136" spans="1:35" ht="15" hidden="1" customHeight="1" outlineLevel="1" x14ac:dyDescent="0.25">
      <c r="B136" s="2388" t="s">
        <v>238</v>
      </c>
      <c r="C136" s="1838">
        <f>IF(AND('R-Definição'!O62&gt;0,'R-Definição'!J64&gt;0),('R-Definição'!O70/('R-Definição'!O62*'R-Definição'!J64/100)),0)</f>
        <v>0</v>
      </c>
      <c r="D136" s="1917" t="s">
        <v>1096</v>
      </c>
      <c r="E136" s="1192"/>
      <c r="F136" s="1192"/>
      <c r="G136" s="1192"/>
      <c r="H136" s="1192"/>
    </row>
    <row r="137" spans="1:35" s="1783" customFormat="1" ht="15" hidden="1" customHeight="1" outlineLevel="1" x14ac:dyDescent="0.25">
      <c r="A137" s="383"/>
      <c r="B137" s="2389"/>
      <c r="C137" s="1916">
        <f>C136*C106*C107</f>
        <v>0</v>
      </c>
      <c r="D137" s="1880" t="s">
        <v>1068</v>
      </c>
      <c r="E137" s="1876"/>
      <c r="F137" s="1876"/>
      <c r="G137" s="1876"/>
      <c r="H137" s="1876"/>
      <c r="AI137" s="383"/>
    </row>
    <row r="138" spans="1:35" s="1783" customFormat="1" ht="15" hidden="1" customHeight="1" outlineLevel="1" x14ac:dyDescent="0.25">
      <c r="A138" s="383"/>
      <c r="B138" s="2389"/>
      <c r="C138" s="1867">
        <f>C136*C105*C107</f>
        <v>0</v>
      </c>
      <c r="D138" s="1884" t="s">
        <v>1077</v>
      </c>
      <c r="E138" s="1876"/>
      <c r="F138" s="1876"/>
      <c r="G138" s="1876"/>
      <c r="H138" s="1876"/>
      <c r="AI138" s="383"/>
    </row>
    <row r="139" spans="1:35" ht="15" hidden="1" customHeight="1" outlineLevel="1" thickBot="1" x14ac:dyDescent="0.3">
      <c r="B139" s="1886" t="s">
        <v>1076</v>
      </c>
      <c r="C139" s="1868">
        <f>(C138*90%)/1000</f>
        <v>0</v>
      </c>
      <c r="D139" s="1830" t="s">
        <v>1080</v>
      </c>
      <c r="E139" s="1831"/>
      <c r="F139" s="1831"/>
      <c r="G139" s="1831"/>
      <c r="H139" s="1831"/>
    </row>
    <row r="140" spans="1:35"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52" customFormat="1" ht="19.899999999999999" customHeight="1" x14ac:dyDescent="0.25">
      <c r="A1" s="478"/>
      <c r="B1" s="2406"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899999999999999" customHeight="1" x14ac:dyDescent="0.3">
      <c r="A2" s="482"/>
      <c r="B2" s="2406"/>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4" t="str">
        <f>'R-Definição'!D2</f>
        <v>CIRSOP - Consórcio RSU Oeste Paulista</v>
      </c>
      <c r="R2" s="2405"/>
      <c r="S2" s="1051"/>
      <c r="T2" s="1053" t="s">
        <v>486</v>
      </c>
      <c r="U2" s="2404" t="str">
        <f>'R-Definição'!D3</f>
        <v>Biodigestão c/ Prod. E. Elétrica</v>
      </c>
      <c r="V2" s="2405"/>
      <c r="W2" s="353"/>
      <c r="X2" s="353"/>
      <c r="Y2" s="353"/>
      <c r="Z2" s="353"/>
      <c r="AA2" s="353"/>
      <c r="AB2" s="353"/>
    </row>
    <row r="3" spans="1:28" s="352" customFormat="1" ht="19.899999999999999" customHeight="1" x14ac:dyDescent="0.25">
      <c r="A3" s="478"/>
      <c r="B3" s="2406"/>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25">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649999999999999" customHeight="1" x14ac:dyDescent="0.25">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899999999999999" customHeight="1" thickBot="1" x14ac:dyDescent="0.35">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649999999999999" customHeight="1" thickTop="1" thickBot="1" x14ac:dyDescent="0.35">
      <c r="A9" s="1045"/>
      <c r="B9" s="2398" t="s">
        <v>691</v>
      </c>
      <c r="C9" s="1099"/>
      <c r="D9" s="2401" t="s">
        <v>696</v>
      </c>
      <c r="E9" s="2402"/>
      <c r="F9" s="2402"/>
      <c r="G9" s="2402"/>
      <c r="H9" s="2402"/>
      <c r="I9" s="2402"/>
      <c r="J9" s="2402"/>
      <c r="K9" s="2402"/>
      <c r="L9" s="2402"/>
      <c r="M9" s="2402"/>
      <c r="N9" s="2402"/>
      <c r="O9" s="2402"/>
      <c r="P9" s="2402"/>
      <c r="Q9" s="2402"/>
      <c r="R9" s="2402"/>
      <c r="S9" s="2402"/>
      <c r="T9" s="2402"/>
      <c r="U9" s="2402"/>
      <c r="V9" s="2403"/>
      <c r="W9" s="1046"/>
      <c r="X9" s="1046"/>
      <c r="Y9" s="1046"/>
      <c r="Z9" s="1046"/>
      <c r="AA9" s="1046"/>
      <c r="AB9" s="1046"/>
    </row>
    <row r="10" spans="1:28" s="352" customFormat="1" ht="7.5" customHeight="1" x14ac:dyDescent="0.25">
      <c r="A10" s="478"/>
      <c r="B10" s="2399"/>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649999999999999" customHeight="1" thickBot="1" x14ac:dyDescent="0.3">
      <c r="A11" s="1032"/>
      <c r="B11" s="2400"/>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899999999999999" customHeight="1" thickTop="1" thickBot="1" x14ac:dyDescent="0.35">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25">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649999999999999" customHeight="1" x14ac:dyDescent="0.25">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649999999999999" customHeight="1" x14ac:dyDescent="0.25">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649999999999999" customHeight="1" x14ac:dyDescent="0.25">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649999999999999" customHeight="1" x14ac:dyDescent="0.25">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899999999999999" customHeight="1" collapsed="1" thickBot="1" x14ac:dyDescent="0.35">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649999999999999" hidden="1" customHeight="1" outlineLevel="1" thickTop="1" x14ac:dyDescent="0.25">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649999999999999" hidden="1" customHeight="1" outlineLevel="1" x14ac:dyDescent="0.25">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649999999999999" hidden="1" customHeight="1" outlineLevel="1" x14ac:dyDescent="0.25">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649999999999999" hidden="1" customHeight="1" outlineLevel="1" x14ac:dyDescent="0.25">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899999999999999" customHeight="1" thickTop="1" thickBot="1" x14ac:dyDescent="0.3">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649999999999999" customHeight="1" collapsed="1" thickTop="1" thickBot="1" x14ac:dyDescent="0.3">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649999999999999" hidden="1" customHeight="1" outlineLevel="1" thickTop="1" x14ac:dyDescent="0.25">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649999999999999" hidden="1" customHeight="1" outlineLevel="1" x14ac:dyDescent="0.25">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649999999999999" hidden="1" customHeight="1" outlineLevel="1" x14ac:dyDescent="0.25">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649999999999999" hidden="1" customHeight="1" outlineLevel="1" thickBot="1" x14ac:dyDescent="0.3">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649999999999999" customHeight="1" collapsed="1" thickTop="1" thickBot="1" x14ac:dyDescent="0.3">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649999999999999" hidden="1" customHeight="1" outlineLevel="1" thickTop="1" x14ac:dyDescent="0.25">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649999999999999" hidden="1" customHeight="1" outlineLevel="1" thickBot="1" x14ac:dyDescent="0.3">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649999999999999" customHeight="1" collapsed="1" thickTop="1" thickBot="1" x14ac:dyDescent="0.3">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649999999999999" hidden="1" customHeight="1" outlineLevel="1" thickTop="1" x14ac:dyDescent="0.25">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649999999999999" hidden="1" customHeight="1" outlineLevel="1" thickBot="1" x14ac:dyDescent="0.3">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649999999999999" customHeight="1" collapsed="1" thickTop="1" thickBot="1" x14ac:dyDescent="0.3">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649999999999999" hidden="1" customHeight="1" outlineLevel="1" thickTop="1" x14ac:dyDescent="0.25">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649999999999999" hidden="1" customHeight="1" outlineLevel="1" thickBot="1" x14ac:dyDescent="0.3">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649999999999999" customHeight="1" thickTop="1" thickBot="1" x14ac:dyDescent="0.3">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899999999999999" customHeight="1" thickTop="1" thickBot="1" x14ac:dyDescent="0.35">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899999999999999" customHeight="1" thickTop="1" thickBot="1" x14ac:dyDescent="0.35">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649999999999999" customHeight="1" thickTop="1" thickBot="1" x14ac:dyDescent="0.3">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649999999999999" customHeight="1" thickTop="1" thickBot="1" x14ac:dyDescent="0.3">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48"/>
      <c r="B1" s="2413"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899999999999999" customHeight="1" x14ac:dyDescent="0.3">
      <c r="A2" s="485"/>
      <c r="B2" s="2413"/>
      <c r="C2" s="487"/>
      <c r="D2" s="1097">
        <f>('R-Resumo Bal. Massa'!B20+'R-Resumo Bal. Massa'!B21)*(1+'R&amp;C-Painel de Controle'!H56)</f>
        <v>467.94871794871801</v>
      </c>
      <c r="E2" s="1098" t="s">
        <v>21</v>
      </c>
      <c r="H2" s="1305">
        <f>D2*313</f>
        <v>146467.94871794875</v>
      </c>
      <c r="I2" s="1304" t="s">
        <v>298</v>
      </c>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row>
    <row r="3" spans="1:28" ht="19.899999999999999" customHeight="1" x14ac:dyDescent="0.25">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649999999999999" customHeight="1" x14ac:dyDescent="0.25">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899999999999999" customHeight="1" x14ac:dyDescent="0.3">
      <c r="A7" s="1073"/>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649999999999999" customHeight="1" thickTop="1" thickBot="1" x14ac:dyDescent="0.35">
      <c r="A9" s="1189"/>
      <c r="B9" s="2407" t="s">
        <v>691</v>
      </c>
      <c r="C9" s="1099"/>
      <c r="D9" s="2410" t="s">
        <v>695</v>
      </c>
      <c r="E9" s="2411"/>
      <c r="F9" s="2411"/>
      <c r="G9" s="2411"/>
      <c r="H9" s="2411"/>
      <c r="I9" s="2411"/>
      <c r="J9" s="2411"/>
      <c r="K9" s="2411"/>
      <c r="L9" s="2411"/>
      <c r="M9" s="2411"/>
      <c r="N9" s="2411"/>
      <c r="O9" s="2411"/>
      <c r="P9" s="2411"/>
      <c r="Q9" s="2411"/>
      <c r="R9" s="2411"/>
      <c r="S9" s="2411"/>
      <c r="T9" s="2411"/>
      <c r="U9" s="2411"/>
      <c r="V9" s="2412"/>
      <c r="W9" s="1269"/>
      <c r="X9" s="1079"/>
      <c r="Y9" s="1079"/>
      <c r="Z9" s="1079"/>
      <c r="AA9" s="1079"/>
      <c r="AB9" s="1079"/>
    </row>
    <row r="10" spans="1:28" s="1076" customFormat="1" ht="7.5" customHeight="1" x14ac:dyDescent="0.3">
      <c r="A10" s="118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649999999999999" customHeight="1" thickBot="1" x14ac:dyDescent="0.35">
      <c r="A11" s="1189"/>
      <c r="B11" s="2409"/>
      <c r="C11" s="1099"/>
      <c r="D11" s="1264">
        <v>50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899999999999999" customHeight="1" thickTop="1" thickBot="1" x14ac:dyDescent="0.3">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25">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649999999999999" customHeight="1" x14ac:dyDescent="0.25">
      <c r="A15" s="1187"/>
      <c r="B15" s="1111" t="s">
        <v>425</v>
      </c>
      <c r="C15" s="1058"/>
      <c r="D15" s="1275">
        <f>IF('R-Definição'!$I$34="Alta",(14961570+179440+150030)/313000,(14961570+179440+150030)/313000*0.85)</f>
        <v>41.525188498402549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1115">
        <v>0.1</v>
      </c>
      <c r="G15" s="1058"/>
      <c r="H15" s="1275">
        <f>IF('R-Definição'!$I$34="Alta",(14961570+179440+150030)/313000,(14961570+179440+150030)/313000*0.85)</f>
        <v>41.525188498402549</v>
      </c>
      <c r="I15" s="1035">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54.962271007179481</v>
      </c>
      <c r="J15" s="1115">
        <v>0.1</v>
      </c>
      <c r="K15" s="1058"/>
      <c r="L15" s="1275">
        <f>IF('R-Definição'!$I$34="Alta",(14961570+179440+150030)/313000,(14961570+179440+150030)/313000*0.85)</f>
        <v>41.525188498402549</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f>
        <v>41.525188498402549</v>
      </c>
      <c r="Q15" s="1035" t="str">
        <f>IF(Q7="SIM",(((P15*$H$2/1000)*1*Q21*$D$5*(1+'R&amp;C-Painel de Controle'!$D$61)+(P15*$H$2/1000)*1*(1-Q21)*'R&amp;C-Painel de Controle'!$D$52*(1+'R&amp;C-Painel de Controle'!$D$54))/1000), "-")</f>
        <v>-</v>
      </c>
      <c r="R15" s="1115">
        <v>0.1</v>
      </c>
      <c r="S15" s="1191"/>
      <c r="T15" s="1275">
        <f>IF('R-Definição'!$I$34="Alta",(14961570+179440+150030)/313000,(14961570+179440+150030)/313000*0.85)</f>
        <v>41.525188498402549</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649999999999999" customHeight="1" x14ac:dyDescent="0.25">
      <c r="A16" s="1187"/>
      <c r="B16" s="1111" t="s">
        <v>692</v>
      </c>
      <c r="C16" s="1058"/>
      <c r="D16" s="1116">
        <v>2000</v>
      </c>
      <c r="E16" s="1035" t="str">
        <f>(IF(E$7="SIM",(((D17-F17)*'R&amp;C-Painel de Controle'!$D$57+F17*('R&amp;C-Painel de Controle'!$D$60)+(((75)+(15+E30/5*30)+(25+E30/10*25))*D16)))/1000000,"-"))</f>
        <v>-</v>
      </c>
      <c r="F16" s="1117">
        <v>0.05</v>
      </c>
      <c r="G16" s="1058"/>
      <c r="H16" s="1116">
        <v>2000</v>
      </c>
      <c r="I16" s="1035">
        <f>(IF(I$7="SIM",(((H17-J17)*'R&amp;C-Painel de Controle'!$D$57+J17*('R&amp;C-Painel de Controle'!$D$60)+(((150)+(15+I30/5*30)+(25+I30/10*25))*H16)))/1000000,"-"))</f>
        <v>14.010886676965933</v>
      </c>
      <c r="J16" s="1117">
        <v>0.05</v>
      </c>
      <c r="K16" s="1058"/>
      <c r="L16" s="1116">
        <v>2000</v>
      </c>
      <c r="M16" s="1035" t="str">
        <f>(IF(M$7="SIM",(((L17-N17)*'R&amp;C-Painel de Controle'!$D$57+N17*('R&amp;C-Painel de Controle'!$D$60)+(((150)+(15+M30/5*30)+(25+M30/10*25))*L16)))/1000000,"-"))</f>
        <v>-</v>
      </c>
      <c r="N16" s="1117">
        <v>0.05</v>
      </c>
      <c r="O16" s="1058"/>
      <c r="P16" s="1116">
        <v>2000</v>
      </c>
      <c r="Q16" s="1035" t="str">
        <f>(IF(Q$7="SIM",(((P17-R17)*'R&amp;C-Painel de Controle'!$D$57+R17*('R&amp;C-Painel de Controle'!$D$60)+(((250)+(15+Q30/5*30)+(25+Q30/10*25))*P16)))/1000000,"-"))</f>
        <v>-</v>
      </c>
      <c r="R16" s="1117">
        <v>0.05</v>
      </c>
      <c r="S16" s="1191"/>
      <c r="T16" s="1116">
        <v>2000</v>
      </c>
      <c r="U16" s="1035" t="str">
        <f>(IF(U$7="SIM",(((T17-V17)*'R&amp;C-Painel de Controle'!$D$57+V17*('R&amp;C-Painel de Controle'!$D$60)+(((250)+(15+U30/5*30)+(25+U30/10*25))*T16)))/1000000,"-"))</f>
        <v>-</v>
      </c>
      <c r="V16" s="1117">
        <v>0.05</v>
      </c>
      <c r="W16" s="1193">
        <v>8.0029804791094481</v>
      </c>
      <c r="X16" s="861">
        <v>9.735510696599782</v>
      </c>
      <c r="Y16" s="861">
        <v>15.844336665618133</v>
      </c>
      <c r="Z16" s="861">
        <v>19.108266044899672</v>
      </c>
      <c r="AA16" s="861">
        <v>27.725632137977193</v>
      </c>
      <c r="AB16" s="42"/>
    </row>
    <row r="17" spans="1:28" s="862" customFormat="1" ht="17.649999999999999" customHeight="1" x14ac:dyDescent="0.25">
      <c r="A17" s="1187"/>
      <c r="B17" s="1111" t="s">
        <v>845</v>
      </c>
      <c r="C17" s="1058"/>
      <c r="D17" s="1118">
        <f>(2*(20*(20+(SQRT(F17))+20))+2*(20*(F17/(SQRT(F17))))+F17+((75)+(15+E30/5*30)+(25+E30/10*25)))</f>
        <v>12134.725575051662</v>
      </c>
      <c r="E17" s="1035" t="str">
        <f>(IF(E$7="SIM",('R&amp;C-Painel de Controle'!$D$55+0.25)*D17/1000000,"-"))</f>
        <v>-</v>
      </c>
      <c r="F17" s="1119">
        <f>IF('R-Definição'!$I$34="Alta",(50*15+50*100+50*10),(50*15+50*100+50*10)*0.75)</f>
        <v>4687.5</v>
      </c>
      <c r="G17" s="1058"/>
      <c r="H17" s="1118">
        <f>(2*(20*(20+(SQRT(J17))+20))+2*(20*(J17/(SQRT(J17))))+J17+((150)+(15+I30/5*30)+(25+I30/10*25)))</f>
        <v>14241.773353931867</v>
      </c>
      <c r="I17" s="1035">
        <f>(IF(I$7="SIM",('R&amp;C-Painel de Controle'!$D$55+0.25)*H17/1000000,"-"))</f>
        <v>3.5604433384829669E-3</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649999999999999" customHeight="1" x14ac:dyDescent="0.25">
      <c r="A18" s="1187"/>
      <c r="B18" s="1111" t="s">
        <v>487</v>
      </c>
      <c r="C18" s="1058"/>
      <c r="D18" s="1276" t="str">
        <f>IF(E7="SIM",(E15+E16)*F18*1000/$H$2,"-")</f>
        <v>-</v>
      </c>
      <c r="E18" s="1035" t="str">
        <f>(IF(E$7="SIM",$H$2*D18/1000,"-"))</f>
        <v>-</v>
      </c>
      <c r="F18" s="1115">
        <v>7.4999999999999997E-2</v>
      </c>
      <c r="G18" s="1058"/>
      <c r="H18" s="1276">
        <f>IF(I7="SIM",(I15+I16)*J18*1000/$H$2,"-")</f>
        <v>3.5318217204451018E-2</v>
      </c>
      <c r="I18" s="1035">
        <f>(IF(I$7="SIM",$H$2*H18/1000,"-"))</f>
        <v>5.1729868263109067</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899999999999999" customHeight="1" collapsed="1" thickBot="1" x14ac:dyDescent="0.35">
      <c r="A19" s="1188"/>
      <c r="B19" s="1112" t="s">
        <v>426</v>
      </c>
      <c r="C19" s="1102"/>
      <c r="D19" s="1252">
        <v>0.05</v>
      </c>
      <c r="E19" s="1120" t="str">
        <f>IF(E7="SIM",SUM(E15:E18)*(1+D19),"-")</f>
        <v>-</v>
      </c>
      <c r="F19" s="1251" t="s">
        <v>338</v>
      </c>
      <c r="G19" s="1102"/>
      <c r="H19" s="1252">
        <v>0.05</v>
      </c>
      <c r="I19" s="1120">
        <f>IF(I7="SIM",SUM(I15:I18)*(1+H19),"-")</f>
        <v>77.857190201484556</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649999999999999" hidden="1" customHeight="1" outlineLevel="1" thickTop="1" x14ac:dyDescent="0.25">
      <c r="A20" s="448"/>
      <c r="B20" s="1206" t="s">
        <v>427</v>
      </c>
      <c r="C20" s="928"/>
      <c r="D20" s="1207" t="s">
        <v>338</v>
      </c>
      <c r="E20" s="1208" t="str">
        <f>IF(E7="SIM",E19*1000000/$H$2,"-")</f>
        <v>-</v>
      </c>
      <c r="F20" s="1207" t="s">
        <v>338</v>
      </c>
      <c r="G20" s="928"/>
      <c r="H20" s="1207" t="s">
        <v>338</v>
      </c>
      <c r="I20" s="1208">
        <f>IF(I7="SIM",I19*1000000/$H$2,"-")</f>
        <v>531.56469304703</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649999999999999" hidden="1" customHeight="1" outlineLevel="1" x14ac:dyDescent="0.25">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649999999999999" hidden="1" customHeight="1" outlineLevel="1" x14ac:dyDescent="0.25">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649999999999999" hidden="1" customHeight="1" outlineLevel="1" x14ac:dyDescent="0.25">
      <c r="A23" s="448"/>
      <c r="B23" s="931" t="s">
        <v>484</v>
      </c>
      <c r="C23" s="928"/>
      <c r="D23" s="372"/>
      <c r="E23" s="371" t="str">
        <f>IF(E7="SIM",(E15*F15+E16*F16)/4,"-")</f>
        <v>-</v>
      </c>
      <c r="F23" s="365"/>
      <c r="G23" s="928"/>
      <c r="H23" s="365"/>
      <c r="I23" s="371">
        <f>IF(I7="SIM",(I15*J15+I16*J16)/4,"-")</f>
        <v>1.5491928586415613</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899999999999999" customHeight="1" thickTop="1" thickBot="1" x14ac:dyDescent="0.35">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25">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649999999999999" customHeight="1" x14ac:dyDescent="0.25">
      <c r="A27" s="1187"/>
      <c r="B27" s="1111" t="s">
        <v>430</v>
      </c>
      <c r="C27" s="1058"/>
      <c r="D27" s="1217"/>
      <c r="E27" s="1088" t="str">
        <f>(IF(E$7="SIM",(E31)*2.4*12/$H$2,"-"))</f>
        <v>-</v>
      </c>
      <c r="F27" s="1115"/>
      <c r="G27" s="1191"/>
      <c r="H27" s="1232"/>
      <c r="I27" s="1088">
        <f>(IF(I$7="SIM",(I31)*2.4*12/$H$2,"-"))</f>
        <v>28.707987220447279</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649999999999999" customHeight="1" outlineLevel="1" x14ac:dyDescent="0.25">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649999999999999" customHeight="1" outlineLevel="1" x14ac:dyDescent="0.25">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649999999999999" customHeight="1" outlineLevel="1" x14ac:dyDescent="0.25">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649999999999999" customHeight="1" outlineLevel="1" x14ac:dyDescent="0.25">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649999999999999" customHeight="1" collapsed="1" x14ac:dyDescent="0.25">
      <c r="A32" s="1187"/>
      <c r="B32" s="1111" t="s">
        <v>431</v>
      </c>
      <c r="C32" s="1058"/>
      <c r="D32" s="1217"/>
      <c r="E32" s="1088" t="str">
        <f>(IF(E$7="SIM",(E33*$H$2/1000*'R&amp;C-Painel de Controle'!$D$68+E34/1000*'R&amp;C-Painel de Controle'!$D$69*12)/$H$2,"-"))</f>
        <v>-</v>
      </c>
      <c r="F32" s="1115"/>
      <c r="G32" s="1191"/>
      <c r="H32" s="1277"/>
      <c r="I32" s="1088">
        <f>(IF(I$7="SIM",(I33*$H$2/1000*'R&amp;C-Painel de Controle'!$D$68+I34/1000*'R&amp;C-Painel de Controle'!$D$69*12)/$H$2,"-"))</f>
        <v>0</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649999999999999" hidden="1" customHeight="1" outlineLevel="1" x14ac:dyDescent="0.25">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649999999999999" hidden="1" customHeight="1" outlineLevel="1" x14ac:dyDescent="0.25">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649999999999999" customHeight="1" collapsed="1" x14ac:dyDescent="0.25">
      <c r="A35" s="1187"/>
      <c r="B35" s="1111" t="s">
        <v>432</v>
      </c>
      <c r="C35" s="1058"/>
      <c r="D35" s="1217"/>
      <c r="E35" s="1088" t="str">
        <f>(IF(E$7="SIM",(E15*1000000*E36+E37*12)/$H$2,"-"))</f>
        <v>-</v>
      </c>
      <c r="F35" s="1221"/>
      <c r="G35" s="1199"/>
      <c r="H35" s="1280"/>
      <c r="I35" s="1088">
        <f>(IF(I$7="SIM",(I15*1000000*I36+I37*12)/$H$2,"-"))</f>
        <v>29.17568131955008</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649999999999999" hidden="1" customHeight="1" outlineLevel="1" x14ac:dyDescent="0.25">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649999999999999" hidden="1" customHeight="1" outlineLevel="1" x14ac:dyDescent="0.25">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649999999999999" customHeight="1" collapsed="1" x14ac:dyDescent="0.25">
      <c r="A38" s="1187"/>
      <c r="B38" s="1111" t="s">
        <v>689</v>
      </c>
      <c r="C38" s="1058"/>
      <c r="D38" s="1274">
        <v>0.5</v>
      </c>
      <c r="E38" s="1088" t="str">
        <f>(IF(E$7="SIM",D38*E39*E40*12/$H$2,"-"))</f>
        <v>-</v>
      </c>
      <c r="F38" s="1221"/>
      <c r="G38" s="1199"/>
      <c r="H38" s="1274">
        <f>D38</f>
        <v>0.5</v>
      </c>
      <c r="I38" s="1088">
        <f>(IF(I$7="SIM",H38*I39*I40*12/$H$2,"-"))</f>
        <v>5.1205742045603735</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649999999999999" hidden="1" customHeight="1" outlineLevel="1" x14ac:dyDescent="0.25">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649999999999999" hidden="1" customHeight="1" outlineLevel="1" x14ac:dyDescent="0.25">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649999999999999" customHeight="1" x14ac:dyDescent="0.25">
      <c r="A41" s="1187"/>
      <c r="B41" s="1111" t="s">
        <v>439</v>
      </c>
      <c r="C41" s="1058"/>
      <c r="D41" s="1217"/>
      <c r="E41" s="1091" t="str">
        <f>(IF(E$7="SIM",7.5+1.5*'R&amp;C-Painel de Controle'!$D$74,"-"))</f>
        <v>-</v>
      </c>
      <c r="F41" s="1221"/>
      <c r="G41" s="1199"/>
      <c r="H41" s="1280"/>
      <c r="I41" s="1091">
        <f>(IF(I$7="SIM",7.5+1.5*'R&amp;C-Painel de Controle'!$D$74,"-"))</f>
        <v>12</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899999999999999" customHeight="1" x14ac:dyDescent="0.3">
      <c r="A42" s="1188"/>
      <c r="B42" s="1212" t="s">
        <v>435</v>
      </c>
      <c r="C42" s="1102"/>
      <c r="D42" s="1274">
        <v>0.1</v>
      </c>
      <c r="E42" s="1081" t="str">
        <f>(IF(E$7="SIM",(E27+E32+E35+E38+E41)*(1+D42),"-"))</f>
        <v>-</v>
      </c>
      <c r="F42" s="1224"/>
      <c r="G42" s="1201"/>
      <c r="H42" s="1274">
        <v>0.1</v>
      </c>
      <c r="I42" s="1081">
        <f>(IF(I$7="SIM",(I27+I32+I35+I38+I41)*(1+H42),"-"))</f>
        <v>82.50466701901351</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205"/>
      <c r="X42" s="1075"/>
      <c r="Y42" s="1075"/>
      <c r="Z42" s="1075"/>
      <c r="AA42" s="1075"/>
      <c r="AB42" s="1083"/>
    </row>
    <row r="43" spans="1:28" s="1076" customFormat="1" ht="19.899999999999999" customHeight="1" x14ac:dyDescent="0.3">
      <c r="A43" s="1188"/>
      <c r="B43" s="1212" t="s">
        <v>436</v>
      </c>
      <c r="C43" s="1102"/>
      <c r="D43" s="1225"/>
      <c r="E43" s="1080" t="str">
        <f>(IF(E$7="SIM",E42*$H$2/1000000,"-"))</f>
        <v>-</v>
      </c>
      <c r="F43" s="1226"/>
      <c r="G43" s="1102"/>
      <c r="H43" s="1225"/>
      <c r="I43" s="1080">
        <f>(IF(I$7="SIM",I42*$H$2/1000000,"-"))</f>
        <v>12.08428933793231</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649999999999999" customHeight="1" x14ac:dyDescent="0.25">
      <c r="A44" s="1187"/>
      <c r="B44" s="1213" t="s">
        <v>437</v>
      </c>
      <c r="C44" s="1058"/>
      <c r="D44" s="1220"/>
      <c r="E44" s="1093" t="str">
        <f>(IF(E$7="SIM",(((E27*$H$2/12)+(E34/1000*'R&amp;C-Painel de Controle'!$D$69*12)+(E37*12)+(E39*E40*12))/1000000),"-"))</f>
        <v>-</v>
      </c>
      <c r="F44" s="1227"/>
      <c r="G44" s="1058"/>
      <c r="H44" s="1220"/>
      <c r="I44" s="1093">
        <f>(IF(I$7="SIM",(((I27*$H$2/12)+(I34/1000*'R&amp;C-Painel de Controle'!$D$69*12)+(I37*12)+(I39*I40*12))/1000000),"-"))</f>
        <v>3.6503999999999999</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649999999999999" customHeight="1" thickBot="1" x14ac:dyDescent="0.3">
      <c r="A45" s="1187"/>
      <c r="B45" s="1214" t="s">
        <v>438</v>
      </c>
      <c r="C45" s="1058"/>
      <c r="D45" s="1228"/>
      <c r="E45" s="1229" t="str">
        <f>(IF(E$7="SIM",((E43-E44)*1000000)/$H$2,"-"))</f>
        <v>-</v>
      </c>
      <c r="F45" s="1230"/>
      <c r="G45" s="1058"/>
      <c r="H45" s="1228"/>
      <c r="I45" s="1229">
        <f>(IF(I$7="SIM",((I43-I44)*1000000)/$H$2,"-"))</f>
        <v>57.581808250577282</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XoUaCIRyU+765ufuCYXsFFTwj/CIk4p4f+ozDwxiafP4D8VB7EpZOXFm573J6HUwgD/6lBZN5Fq2djvyLFgmFw==" saltValue="A9o10QpafSA3Wpm/jZD8J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1068" customWidth="1"/>
    <col min="2" max="2" width="60.7109375" style="1068" customWidth="1"/>
    <col min="3" max="3" width="1.7109375" style="1068" customWidth="1"/>
    <col min="4" max="4" width="11.7109375" style="1068" customWidth="1"/>
    <col min="5" max="5" width="15.7109375" style="1068" customWidth="1"/>
    <col min="6" max="6" width="11.7109375" style="1068" customWidth="1"/>
    <col min="7" max="7" width="1.7109375" style="1068" customWidth="1"/>
    <col min="8" max="8" width="11.7109375" style="1068" customWidth="1"/>
    <col min="9" max="9" width="15.7109375" style="1068" customWidth="1"/>
    <col min="10" max="10" width="11.7109375" style="1068" customWidth="1"/>
    <col min="11" max="11" width="1.7109375" style="1068" customWidth="1"/>
    <col min="12" max="12" width="11.7109375" style="1068" customWidth="1"/>
    <col min="13" max="13" width="15.7109375" style="1068" customWidth="1"/>
    <col min="14" max="14" width="11.7109375" style="1068" customWidth="1"/>
    <col min="15" max="15" width="1.7109375" style="1068" customWidth="1"/>
    <col min="16" max="16" width="11.7109375" style="1068" customWidth="1"/>
    <col min="17" max="17" width="15.7109375" style="1068" customWidth="1"/>
    <col min="18" max="18" width="11.7109375" style="1068" customWidth="1"/>
    <col min="19" max="19" width="1.7109375" style="1068" customWidth="1"/>
    <col min="20" max="20" width="11.7109375" style="1068" customWidth="1"/>
    <col min="21" max="21" width="15.7109375" style="1068" customWidth="1"/>
    <col min="22" max="22" width="11.7109375" style="1068" customWidth="1"/>
    <col min="23" max="27" width="8.7109375" style="1068" hidden="1" customWidth="1"/>
    <col min="28" max="61" width="8.7109375" style="1068" customWidth="1"/>
    <col min="62" max="16384" width="14.42578125" style="1068"/>
  </cols>
  <sheetData>
    <row r="1" spans="1:61" ht="19.899999999999999" customHeight="1" x14ac:dyDescent="0.25">
      <c r="B1" s="2413" t="s">
        <v>859</v>
      </c>
      <c r="C1" s="484"/>
      <c r="D1" s="484"/>
      <c r="E1" s="484"/>
      <c r="F1" s="484"/>
      <c r="G1" s="484"/>
      <c r="H1" s="484"/>
      <c r="I1" s="484"/>
      <c r="J1" s="484"/>
      <c r="K1" s="484"/>
      <c r="L1" s="484"/>
      <c r="M1" s="484"/>
      <c r="N1" s="484"/>
      <c r="O1" s="484"/>
      <c r="P1" s="484"/>
      <c r="Q1" s="484"/>
      <c r="R1" s="484"/>
      <c r="S1" s="484"/>
      <c r="T1" s="484"/>
      <c r="U1" s="484"/>
      <c r="V1" s="484"/>
    </row>
    <row r="2" spans="1:61" ht="19.899999999999999" customHeight="1" x14ac:dyDescent="0.3">
      <c r="A2" s="50"/>
      <c r="B2" s="2413"/>
      <c r="C2" s="487"/>
      <c r="D2" s="1097">
        <f>'R-Resumo Bal. Massa'!B30*(1+'R&amp;C-Painel de Controle'!H59)</f>
        <v>176.88461538461536</v>
      </c>
      <c r="E2" s="1098" t="s">
        <v>21</v>
      </c>
      <c r="F2" s="1069"/>
      <c r="G2" s="1069"/>
      <c r="H2" s="1305">
        <f>D2*313</f>
        <v>55364.88461538461</v>
      </c>
      <c r="I2" s="1304" t="s">
        <v>298</v>
      </c>
      <c r="J2" s="1069"/>
      <c r="K2" s="1069"/>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B3" s="2413"/>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899999999999999" customHeight="1" x14ac:dyDescent="0.25">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B9" s="2407" t="s">
        <v>691</v>
      </c>
      <c r="C9" s="1099"/>
      <c r="D9" s="2410" t="s">
        <v>697</v>
      </c>
      <c r="E9" s="2411"/>
      <c r="F9" s="2411"/>
      <c r="G9" s="2411"/>
      <c r="H9" s="2411"/>
      <c r="I9" s="2411"/>
      <c r="J9" s="2411"/>
      <c r="K9" s="2411"/>
      <c r="L9" s="2411"/>
      <c r="M9" s="2411"/>
      <c r="N9" s="2411"/>
      <c r="O9" s="2411"/>
      <c r="P9" s="2411"/>
      <c r="Q9" s="2411"/>
      <c r="R9" s="2411"/>
      <c r="S9" s="2411"/>
      <c r="T9" s="2411"/>
      <c r="U9" s="2411"/>
      <c r="V9" s="2412"/>
    </row>
    <row r="10" spans="1:61" ht="7.5" customHeight="1" x14ac:dyDescent="0.25">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B11" s="2409"/>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899999999999999" customHeight="1" thickTop="1" thickBot="1" x14ac:dyDescent="0.3">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25">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649999999999999" customHeight="1" x14ac:dyDescent="0.25">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f>IF(I7="SIM",((((L15*(($D$2-H11)/(J11-H11))*$H$2/1000)*I21*$D$5*(1+'R&amp;C-Painel de Controle'!$D$61)+(L15*(($D$2-H11)/(J11-H11))*$H$2/1000)*(1-I21)*'R&amp;C-Painel de Controle'!$D$52*(1+'R&amp;C-Painel de Controle'!$D$54)))+(((H15*((J11-$D$2)/(J11-H11))*$H$2/1000)*I21*$D$5*(1+'R&amp;C-Painel de Controle'!$D$61)+(H15*((J11-$D$2)/(J11-H11))*$H$2/1000)*(1-I21)*'R&amp;C-Painel de Controle'!$D$52*(1+'R&amp;C-Painel de Controle'!$D$54))))/1000, "-")</f>
        <v>18.392585623185177</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
      <c r="B16" s="1111" t="s">
        <v>692</v>
      </c>
      <c r="C16" s="1058"/>
      <c r="D16" s="1116" t="s">
        <v>338</v>
      </c>
      <c r="E16" s="1035" t="str">
        <f>(IF(E$7="SIM",(F17*('R&amp;C-Painel de Controle'!$D$60))/1000000,"-"))</f>
        <v>-</v>
      </c>
      <c r="F16" s="1117">
        <v>0.05</v>
      </c>
      <c r="G16" s="1058"/>
      <c r="H16" s="1116" t="s">
        <v>338</v>
      </c>
      <c r="I16" s="1035">
        <f>(IF(I$7="SIM",(J17*('R&amp;C-Painel de Controle'!$D$60))/1000000,"-"))</f>
        <v>4.3499999999999996</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
      <c r="B17" s="1111" t="s">
        <v>845</v>
      </c>
      <c r="C17" s="1058"/>
      <c r="D17" s="1118">
        <f>F17</f>
        <v>825</v>
      </c>
      <c r="E17" s="1035" t="str">
        <f>(IF(E$7="SIM",('R&amp;C-Painel de Controle'!$D$55+0.25)*D17/1000000,"-"))</f>
        <v>-</v>
      </c>
      <c r="F17" s="1119">
        <f>10*10+10*10+25*25</f>
        <v>825</v>
      </c>
      <c r="G17" s="1058"/>
      <c r="H17" s="1118">
        <f>J17</f>
        <v>2900</v>
      </c>
      <c r="I17" s="1035">
        <f>(IF(I$7="SIM",('R&amp;C-Painel de Controle'!$D$55+0.25)*H17/1000000,"-"))</f>
        <v>7.2499999999999995E-4</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
      <c r="B18" s="1111" t="s">
        <v>487</v>
      </c>
      <c r="C18" s="1058"/>
      <c r="D18" s="1276" t="str">
        <f>IF(E7="SIM",(E15+E16)*F18*1000/$H$2,"-")</f>
        <v>-</v>
      </c>
      <c r="E18" s="1035" t="str">
        <f>(IF(E$7="SIM",$H$2*D18/1000,"-"))</f>
        <v>-</v>
      </c>
      <c r="F18" s="1115">
        <v>2.5000000000000001E-2</v>
      </c>
      <c r="G18" s="1058"/>
      <c r="H18" s="1276">
        <f>IF(I7="SIM",(I15+I16)*J18*1000/$H$2,"-")</f>
        <v>1.0269408931841948E-2</v>
      </c>
      <c r="I18" s="1035">
        <f>(IF(I$7="SIM",$H$2*H18/1000,"-"))</f>
        <v>0.56856464057962952</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899999999999999" customHeight="1" collapsed="1" thickBot="1" x14ac:dyDescent="0.3">
      <c r="A19" s="1075"/>
      <c r="B19" s="1112" t="s">
        <v>426</v>
      </c>
      <c r="C19" s="1102"/>
      <c r="D19" s="1252">
        <v>0.05</v>
      </c>
      <c r="E19" s="1120" t="str">
        <f>IF(E7="SIM",SUM(E15:E18)*(1+D19),"-")</f>
        <v>-</v>
      </c>
      <c r="F19" s="1251" t="s">
        <v>338</v>
      </c>
      <c r="G19" s="1102"/>
      <c r="H19" s="1252">
        <v>0.05</v>
      </c>
      <c r="I19" s="1120">
        <f>IF(I7="SIM",SUM(I15:I18)*(1+H19),"-")</f>
        <v>24.477469026953049</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25">
      <c r="B20" s="1206" t="s">
        <v>427</v>
      </c>
      <c r="C20" s="928"/>
      <c r="D20" s="1207" t="s">
        <v>338</v>
      </c>
      <c r="E20" s="1208" t="str">
        <f>IF(E7="SIM",E19*1000000/$H$2,"-")</f>
        <v>-</v>
      </c>
      <c r="F20" s="1207" t="s">
        <v>338</v>
      </c>
      <c r="G20" s="928"/>
      <c r="H20" s="1207" t="s">
        <v>338</v>
      </c>
      <c r="I20" s="1208">
        <f>IF(I7="SIM",I19*1000000/$H$2,"-")</f>
        <v>442.1118042057895</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25">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25">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25">
      <c r="B23" s="931" t="s">
        <v>484</v>
      </c>
      <c r="C23" s="928"/>
      <c r="D23" s="372"/>
      <c r="E23" s="371" t="str">
        <f>IF(E7="SIM",(E15*F15+E16*F16)/4,"-")</f>
        <v>-</v>
      </c>
      <c r="F23" s="365"/>
      <c r="G23" s="928"/>
      <c r="H23" s="365"/>
      <c r="I23" s="371">
        <f>IF(I7="SIM",(I15*J15+I16*J16)/4,"-")</f>
        <v>0.51418964057962946</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899999999999999" customHeight="1" thickTop="1" thickBot="1" x14ac:dyDescent="0.3">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25">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649999999999999" customHeight="1" collapsed="1" x14ac:dyDescent="0.25">
      <c r="A27" s="45"/>
      <c r="B27" s="1111" t="s">
        <v>430</v>
      </c>
      <c r="C27" s="1058"/>
      <c r="D27" s="1217"/>
      <c r="E27" s="1088" t="str">
        <f>(IF(E$7="SIM",(E31)*2.4*12/$H$2,"-"))</f>
        <v>-</v>
      </c>
      <c r="F27" s="1115"/>
      <c r="G27" s="1191"/>
      <c r="H27" s="1232"/>
      <c r="I27" s="1088">
        <f>(IF(I$7="SIM",(I31)*2.4*12/$H$2,"-"))</f>
        <v>13.524818216489626</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25">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25">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25">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649999999999999" customHeight="1" collapsed="1" x14ac:dyDescent="0.25">
      <c r="A32" s="45"/>
      <c r="B32" s="1111" t="s">
        <v>431</v>
      </c>
      <c r="C32" s="1058"/>
      <c r="D32" s="1217"/>
      <c r="E32" s="1088" t="str">
        <f>(IF(E$7="SIM",(E33*$H$2/1000*'R&amp;C-Painel de Controle'!$D$68+E34/1000*'R&amp;C-Painel de Controle'!$D$69*12)/$H$2,"-"))</f>
        <v>-</v>
      </c>
      <c r="F32" s="1115"/>
      <c r="G32" s="1191"/>
      <c r="H32" s="1277"/>
      <c r="I32" s="1088">
        <f>(IF(I$7="SIM",(I33*$H$2/1000*'R&amp;C-Painel de Controle'!$D$68+I34/1000*'R&amp;C-Painel de Controle'!$D$69*12)/$H$2,"-"))</f>
        <v>0</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25">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649999999999999" customHeight="1" collapsed="1" x14ac:dyDescent="0.25">
      <c r="A35" s="45"/>
      <c r="B35" s="1111" t="s">
        <v>432</v>
      </c>
      <c r="C35" s="1058"/>
      <c r="D35" s="1217"/>
      <c r="E35" s="1088" t="str">
        <f>(IF(E$7="SIM",(E15*1000000*E36+E37*12)/$H$2,"-"))</f>
        <v>-</v>
      </c>
      <c r="F35" s="1221"/>
      <c r="G35" s="1199"/>
      <c r="H35" s="1280"/>
      <c r="I35" s="1088">
        <f>(IF(I$7="SIM",(I15*1000000*I36+I37*12)/$H$2,"-"))</f>
        <v>22.028932050196172</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25">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649999999999999" customHeight="1" collapsed="1" x14ac:dyDescent="0.25">
      <c r="A38" s="42"/>
      <c r="B38" s="1111" t="s">
        <v>689</v>
      </c>
      <c r="C38" s="1058"/>
      <c r="D38" s="1274">
        <v>0.5</v>
      </c>
      <c r="E38" s="1088" t="str">
        <f>(IF(E$7="SIM",D38*E39*E40*12/$H$2,"-"))</f>
        <v>-</v>
      </c>
      <c r="F38" s="1221"/>
      <c r="G38" s="1199"/>
      <c r="H38" s="1274">
        <f>D38</f>
        <v>0.5</v>
      </c>
      <c r="I38" s="1088">
        <f>(IF(I$7="SIM",H38*I39*I40*12/$H$2,"-"))</f>
        <v>0.54185970418628304</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25">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649999999999999" customHeight="1" x14ac:dyDescent="0.25">
      <c r="A41" s="45"/>
      <c r="B41" s="1111" t="s">
        <v>439</v>
      </c>
      <c r="C41" s="1058"/>
      <c r="D41" s="1217"/>
      <c r="E41" s="1091" t="str">
        <f>(IF(E$7="SIM",2.5+2.5+1*'R&amp;C-Painel de Controle'!$D$74,"-"))</f>
        <v>-</v>
      </c>
      <c r="F41" s="1221"/>
      <c r="G41" s="1199"/>
      <c r="H41" s="1280"/>
      <c r="I41" s="1091">
        <f>(IF(I$7="SIM",2.5+2.5+1*'R&amp;C-Painel de Controle'!$D$74,"-"))</f>
        <v>8</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899999999999999" customHeight="1" x14ac:dyDescent="0.25">
      <c r="A42" s="1075"/>
      <c r="B42" s="1212" t="s">
        <v>435</v>
      </c>
      <c r="C42" s="1102"/>
      <c r="D42" s="1274">
        <v>0.1</v>
      </c>
      <c r="E42" s="1081" t="str">
        <f>(IF(E$7="SIM",(E27+E32+E35+E38+E41)*(1+D42),"-"))</f>
        <v>-</v>
      </c>
      <c r="F42" s="1224"/>
      <c r="G42" s="1201"/>
      <c r="H42" s="1274">
        <v>0.1</v>
      </c>
      <c r="I42" s="1081">
        <f>(IF(I$7="SIM",(I27+I32+I35+I38+I41)*(1+H42),"-"))</f>
        <v>48.505170967959288</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899999999999999" customHeight="1" x14ac:dyDescent="0.25">
      <c r="A43" s="1075"/>
      <c r="B43" s="1212" t="s">
        <v>436</v>
      </c>
      <c r="C43" s="1102"/>
      <c r="D43" s="1225"/>
      <c r="E43" s="1080" t="str">
        <f>(IF(E$7="SIM",E42*$H$2/1000000,"-"))</f>
        <v>-</v>
      </c>
      <c r="F43" s="1226"/>
      <c r="G43" s="1102"/>
      <c r="H43" s="1225"/>
      <c r="I43" s="1080">
        <f>(IF(I$7="SIM",I42*$H$2/1000000,"-"))</f>
        <v>2.6854831938905694</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649999999999999" customHeight="1" x14ac:dyDescent="0.25">
      <c r="B44" s="1213" t="s">
        <v>437</v>
      </c>
      <c r="C44" s="1058"/>
      <c r="D44" s="1220"/>
      <c r="E44" s="1093" t="str">
        <f>(IF(E$7="SIM",(((E27*$H$2/12)+(E34/1000*'R&amp;C-Painel de Controle'!$D$69*12)+(E37*12)+(E39*E40*12))/1000000),"-"))</f>
        <v>-</v>
      </c>
      <c r="F44" s="1227"/>
      <c r="G44" s="1058"/>
      <c r="H44" s="1220"/>
      <c r="I44" s="1093">
        <f>(IF(I$7="SIM",(((I27*$H$2/12)+(I34/1000*'R&amp;C-Painel de Controle'!$D$69*12)+(I37*12)+(I39*I40*12))/1000000),"-"))</f>
        <v>0.4224</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649999999999999" customHeight="1" thickBot="1" x14ac:dyDescent="0.3">
      <c r="B45" s="1214" t="s">
        <v>438</v>
      </c>
      <c r="C45" s="1058"/>
      <c r="D45" s="1228"/>
      <c r="E45" s="1229" t="str">
        <f>(IF(E$7="SIM",((E43-E44)*1000000)/$H$2,"-"))</f>
        <v>-</v>
      </c>
      <c r="F45" s="1230"/>
      <c r="G45" s="1058"/>
      <c r="H45" s="1228"/>
      <c r="I45" s="1229">
        <f>(IF(I$7="SIM",((I43-I44)*1000000)/$H$2,"-"))</f>
        <v>40.875786333016421</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25">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25">
      <c r="B47" s="45"/>
    </row>
    <row r="48" spans="1:61" ht="14.25" customHeight="1" x14ac:dyDescent="0.25">
      <c r="B48" s="45"/>
    </row>
    <row r="49" spans="2:8" ht="14.25" customHeight="1" x14ac:dyDescent="0.25">
      <c r="B49" s="45"/>
    </row>
    <row r="50" spans="2:8" ht="14.25" customHeight="1" x14ac:dyDescent="0.25">
      <c r="B50" s="45"/>
    </row>
    <row r="51" spans="2:8" ht="14.25" customHeight="1" x14ac:dyDescent="0.25">
      <c r="B51" s="45"/>
      <c r="H51" s="383"/>
    </row>
    <row r="52" spans="2:8" ht="14.25" customHeight="1" x14ac:dyDescent="0.25">
      <c r="B52" s="45"/>
    </row>
    <row r="53" spans="2:8" ht="14.25" customHeight="1" x14ac:dyDescent="0.25">
      <c r="B53" s="45"/>
    </row>
    <row r="54" spans="2:8" ht="14.25" customHeight="1" x14ac:dyDescent="0.25">
      <c r="B54" s="45"/>
    </row>
    <row r="55" spans="2:8" ht="14.25" customHeight="1" x14ac:dyDescent="0.25">
      <c r="B55" s="45"/>
    </row>
    <row r="56" spans="2:8" ht="14.25" customHeight="1" x14ac:dyDescent="0.25">
      <c r="B56" s="45"/>
    </row>
    <row r="57" spans="2:8" ht="14.25" customHeight="1" x14ac:dyDescent="0.25">
      <c r="B57" s="45"/>
    </row>
    <row r="58" spans="2:8" ht="14.25" customHeight="1" x14ac:dyDescent="0.25">
      <c r="B58" s="45"/>
    </row>
    <row r="59" spans="2:8" ht="14.25" customHeight="1" x14ac:dyDescent="0.25">
      <c r="B59" s="45"/>
    </row>
    <row r="60" spans="2:8" ht="14.25" customHeight="1" x14ac:dyDescent="0.25">
      <c r="B60" s="45"/>
    </row>
    <row r="61" spans="2:8" ht="14.25" customHeight="1" x14ac:dyDescent="0.25">
      <c r="B61" s="45"/>
    </row>
    <row r="62" spans="2:8" ht="14.25" customHeight="1" x14ac:dyDescent="0.25">
      <c r="B62" s="45"/>
    </row>
    <row r="63" spans="2:8" ht="14.25" customHeight="1" x14ac:dyDescent="0.25">
      <c r="B63" s="45"/>
    </row>
    <row r="64" spans="2:8" ht="14.25" customHeight="1" x14ac:dyDescent="0.25">
      <c r="B64" s="45"/>
    </row>
    <row r="65" spans="2:2" ht="14.25" customHeight="1" x14ac:dyDescent="0.25">
      <c r="B65" s="45"/>
    </row>
    <row r="66" spans="2:2" ht="14.25" customHeight="1" x14ac:dyDescent="0.25">
      <c r="B66" s="45"/>
    </row>
    <row r="67" spans="2:2" ht="14.25" customHeight="1" x14ac:dyDescent="0.25">
      <c r="B67" s="45"/>
    </row>
    <row r="68" spans="2:2" ht="14.25" customHeight="1" x14ac:dyDescent="0.25">
      <c r="B68" s="45"/>
    </row>
    <row r="69" spans="2:2" ht="14.25" customHeight="1" x14ac:dyDescent="0.25">
      <c r="B69" s="45"/>
    </row>
    <row r="70" spans="2:2" ht="14.25" customHeight="1" x14ac:dyDescent="0.25">
      <c r="B70" s="45"/>
    </row>
    <row r="71" spans="2:2" ht="14.25" customHeight="1" x14ac:dyDescent="0.25">
      <c r="B71" s="45"/>
    </row>
    <row r="72" spans="2:2" ht="14.25" customHeight="1" x14ac:dyDescent="0.25">
      <c r="B72" s="45"/>
    </row>
    <row r="73" spans="2:2" ht="14.25" customHeight="1" x14ac:dyDescent="0.25">
      <c r="B73" s="45"/>
    </row>
    <row r="74" spans="2:2" ht="14.25" customHeight="1" x14ac:dyDescent="0.25">
      <c r="B74" s="45"/>
    </row>
    <row r="75" spans="2:2" ht="14.25" customHeight="1" x14ac:dyDescent="0.25">
      <c r="B75" s="45"/>
    </row>
    <row r="76" spans="2:2" ht="14.25" customHeight="1" x14ac:dyDescent="0.25">
      <c r="B76" s="45"/>
    </row>
    <row r="77" spans="2:2" ht="14.25" customHeight="1" x14ac:dyDescent="0.25">
      <c r="B77" s="45"/>
    </row>
    <row r="78" spans="2:2" ht="14.25" customHeight="1" x14ac:dyDescent="0.25">
      <c r="B78" s="45"/>
    </row>
    <row r="79" spans="2:2" ht="14.25" customHeight="1" x14ac:dyDescent="0.25">
      <c r="B79" s="45"/>
    </row>
    <row r="80" spans="2:2" ht="14.25" customHeight="1" x14ac:dyDescent="0.25">
      <c r="B80" s="45"/>
    </row>
    <row r="81" spans="2:2" ht="14.25" customHeight="1" x14ac:dyDescent="0.25">
      <c r="B81" s="45"/>
    </row>
    <row r="82" spans="2:2" ht="14.25" customHeight="1" x14ac:dyDescent="0.25">
      <c r="B82" s="45"/>
    </row>
    <row r="83" spans="2:2" ht="14.25" customHeight="1" x14ac:dyDescent="0.25">
      <c r="B83" s="45"/>
    </row>
    <row r="84" spans="2:2" ht="14.25" customHeight="1" x14ac:dyDescent="0.25">
      <c r="B84" s="45"/>
    </row>
    <row r="85" spans="2:2" ht="14.25" customHeight="1" x14ac:dyDescent="0.25">
      <c r="B85" s="45"/>
    </row>
    <row r="86" spans="2:2" ht="14.25" customHeight="1" x14ac:dyDescent="0.25">
      <c r="B86" s="45"/>
    </row>
    <row r="87" spans="2:2" ht="14.25" customHeight="1" x14ac:dyDescent="0.25">
      <c r="B87" s="45"/>
    </row>
    <row r="88" spans="2:2" ht="14.25" customHeight="1" x14ac:dyDescent="0.25">
      <c r="B88" s="45"/>
    </row>
    <row r="89" spans="2:2" ht="14.25" customHeight="1" x14ac:dyDescent="0.25">
      <c r="B89" s="45"/>
    </row>
    <row r="90" spans="2:2" ht="14.25" customHeight="1" x14ac:dyDescent="0.25">
      <c r="B90" s="45"/>
    </row>
    <row r="91" spans="2:2" ht="14.25" customHeight="1" x14ac:dyDescent="0.25">
      <c r="B91" s="45"/>
    </row>
    <row r="92" spans="2:2" ht="14.25" customHeight="1" x14ac:dyDescent="0.25">
      <c r="B92" s="45"/>
    </row>
    <row r="93" spans="2:2" ht="14.25" customHeight="1" x14ac:dyDescent="0.25">
      <c r="B93" s="45"/>
    </row>
    <row r="94" spans="2:2" ht="14.25" customHeight="1" x14ac:dyDescent="0.25">
      <c r="B94" s="45"/>
    </row>
    <row r="95" spans="2:2" ht="14.25" customHeight="1" x14ac:dyDescent="0.25">
      <c r="B95" s="45"/>
    </row>
    <row r="96" spans="2:2" ht="14.25" customHeight="1" x14ac:dyDescent="0.25">
      <c r="B96" s="45"/>
    </row>
    <row r="97" spans="2:2" ht="14.25" customHeight="1" x14ac:dyDescent="0.25">
      <c r="B97" s="45"/>
    </row>
    <row r="98" spans="2:2" ht="14.25" customHeight="1" x14ac:dyDescent="0.25">
      <c r="B98" s="45"/>
    </row>
    <row r="99" spans="2:2" ht="14.25" customHeight="1" x14ac:dyDescent="0.25">
      <c r="B99" s="45"/>
    </row>
    <row r="100" spans="2:2" ht="14.25" customHeight="1" x14ac:dyDescent="0.25">
      <c r="B100" s="45"/>
    </row>
    <row r="101" spans="2:2" ht="14.25" customHeight="1" x14ac:dyDescent="0.25">
      <c r="B101" s="45"/>
    </row>
    <row r="102" spans="2:2" ht="14.25" customHeight="1" x14ac:dyDescent="0.25">
      <c r="B102" s="45"/>
    </row>
    <row r="103" spans="2:2" ht="14.25" customHeight="1" x14ac:dyDescent="0.25">
      <c r="B103" s="45"/>
    </row>
    <row r="104" spans="2:2" ht="14.25" customHeight="1" x14ac:dyDescent="0.25">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48"/>
      <c r="B1" s="2413"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899999999999999" customHeight="1" x14ac:dyDescent="0.3">
      <c r="A2" s="485"/>
      <c r="B2" s="2413"/>
      <c r="C2" s="487"/>
      <c r="D2" s="1097">
        <f>'R-Resumo Bal. Massa'!B31*(1+'R&amp;C-Painel de Controle'!H62)</f>
        <v>0</v>
      </c>
      <c r="E2" s="1098" t="s">
        <v>21</v>
      </c>
      <c r="F2" s="1087"/>
      <c r="G2" s="1087"/>
      <c r="H2" s="1305">
        <f>D2*313</f>
        <v>0</v>
      </c>
      <c r="I2" s="1304" t="s">
        <v>298</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649999999999999" customHeight="1" x14ac:dyDescent="0.25">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899999999999999" customHeight="1" x14ac:dyDescent="0.25">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649999999999999" customHeight="1" thickTop="1" thickBot="1" x14ac:dyDescent="0.35">
      <c r="A9" s="1077"/>
      <c r="B9" s="2407" t="s">
        <v>691</v>
      </c>
      <c r="C9" s="1099"/>
      <c r="D9" s="2410" t="s">
        <v>698</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
      <c r="A10" s="1077"/>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649999999999999" customHeight="1" thickBot="1" x14ac:dyDescent="0.35">
      <c r="A11" s="1077"/>
      <c r="B11" s="2409"/>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899999999999999" customHeight="1" thickTop="1" thickBot="1" x14ac:dyDescent="0.35">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25">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649999999999999" customHeight="1" x14ac:dyDescent="0.25">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899999999999999" customHeight="1" collapsed="1" thickBot="1" x14ac:dyDescent="0.35">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25">
      <c r="A20" s="448"/>
      <c r="B20" s="1206" t="s">
        <v>427</v>
      </c>
      <c r="C20" s="928"/>
      <c r="D20" s="1207" t="s">
        <v>338</v>
      </c>
      <c r="E20" s="1208" t="str">
        <f>IF(E7="SIM",E19*1000000/$H$2,"-")</f>
        <v>-</v>
      </c>
      <c r="F20" s="1207" t="str">
        <f>IF(E7="SIM",E16/E19,"-")</f>
        <v>-</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25">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25">
      <c r="A22" s="448"/>
      <c r="B22" s="932"/>
      <c r="C22" s="928"/>
      <c r="D22" s="367"/>
      <c r="E22" s="365"/>
      <c r="F22" s="365"/>
      <c r="G22" s="928"/>
      <c r="H22" s="365">
        <f>(($D$2-H11)/(J11-H11))</f>
        <v>-2.3333333333333335</v>
      </c>
      <c r="I22" s="371"/>
      <c r="J22" s="365">
        <f>((J11-$D$2)/(J11-H11))</f>
        <v>3.3333333333333335</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25">
      <c r="A23" s="448"/>
      <c r="B23" s="931" t="s">
        <v>484</v>
      </c>
      <c r="C23" s="928"/>
      <c r="D23" s="372"/>
      <c r="E23" s="371" t="str">
        <f>IF(E7="SIM",(E15*F15+E16*F16)/4,"-")</f>
        <v>-</v>
      </c>
      <c r="F23" s="365"/>
      <c r="G23" s="928"/>
      <c r="H23" s="365">
        <f>(L15*(($D$2-H11)/(J11-H11))*$H$2/1000)*I21*$D$5*(1+'R&amp;C-Painel de Controle'!$D$54)*(1+'R&amp;C-Painel de Controle'!$D$61)</f>
        <v>0</v>
      </c>
      <c r="I23" s="371" t="str">
        <f>IF(I7="SIM",(I15*J15+I16*J16)/4,"-")</f>
        <v>-</v>
      </c>
      <c r="J23" s="365">
        <f>((L15*(($D$2-H11)/(J11-H11))*$H$2/1000)*(1-I21)*'R&amp;C-Painel de Controle'!$D$52*(1+'R&amp;C-Painel de Controle'!$D$54))/1000</f>
        <v>0</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899999999999999" customHeight="1" thickTop="1" thickBot="1" x14ac:dyDescent="0.3">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25">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649999999999999" customHeight="1" collapsed="1" x14ac:dyDescent="0.25">
      <c r="A27" s="453"/>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25">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25">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25">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649999999999999" customHeight="1" collapsed="1" x14ac:dyDescent="0.25">
      <c r="A32" s="453"/>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25">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649999999999999" customHeight="1" collapsed="1" x14ac:dyDescent="0.25">
      <c r="A35" s="453"/>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25">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649999999999999" customHeight="1" collapsed="1" x14ac:dyDescent="0.25">
      <c r="A38" s="453"/>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25">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25">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649999999999999" customHeight="1" x14ac:dyDescent="0.25">
      <c r="A41" s="453"/>
      <c r="B41" s="1111" t="s">
        <v>439</v>
      </c>
      <c r="C41" s="1058"/>
      <c r="D41" s="1217"/>
      <c r="E41" s="1091" t="str">
        <f>(IF(E$7="SIM",5+2.5+1*'R&amp;C-Painel de Controle'!$D$74,"-"))</f>
        <v>-</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899999999999999" customHeight="1" x14ac:dyDescent="0.3">
      <c r="A42" s="1300"/>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899999999999999" customHeight="1" x14ac:dyDescent="0.3">
      <c r="A43" s="1300"/>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25">
      <c r="A44" s="72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
      <c r="A45" s="72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39"/>
      <c r="B1" s="2413"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899999999999999" customHeight="1" x14ac:dyDescent="0.3">
      <c r="A2" s="940"/>
      <c r="B2" s="2413"/>
      <c r="C2" s="487"/>
      <c r="D2" s="1097">
        <f>'R-Resumo Bal. Massa'!B35*(1+'R&amp;C-Painel de Controle'!H68)</f>
        <v>204.44679487179491</v>
      </c>
      <c r="E2" s="1098" t="s">
        <v>440</v>
      </c>
      <c r="F2" s="1087"/>
      <c r="G2" s="1087"/>
      <c r="H2" s="1305">
        <f>D2*313</f>
        <v>63991.846794871803</v>
      </c>
      <c r="I2" s="1304" t="s">
        <v>441</v>
      </c>
      <c r="J2" s="1087"/>
      <c r="K2" s="108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198"/>
    </row>
    <row r="3" spans="1:61" ht="19.899999999999999" customHeight="1" x14ac:dyDescent="0.25">
      <c r="A3" s="939"/>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649999999999999" customHeight="1" x14ac:dyDescent="0.25">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899999999999999" customHeight="1" x14ac:dyDescent="0.25">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SIM</v>
      </c>
      <c r="R7" s="1042"/>
      <c r="S7" s="1038"/>
      <c r="T7" s="1042"/>
      <c r="U7" s="1291" t="str">
        <f>IF(AND(L2="Sim",$D$2&gt;T11,$D$2&lt;=V11*1.5),"SIM","NÃO")</f>
        <v>NÃO</v>
      </c>
      <c r="V7" s="1038"/>
      <c r="W7" s="164"/>
      <c r="X7" s="164"/>
      <c r="Y7" s="164"/>
      <c r="Z7" s="164"/>
      <c r="AA7" s="164"/>
      <c r="AB7" s="198"/>
    </row>
    <row r="8" spans="1:61"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649999999999999" customHeight="1" thickTop="1" thickBot="1" x14ac:dyDescent="0.35">
      <c r="A9" s="1310"/>
      <c r="B9" s="2407" t="s">
        <v>691</v>
      </c>
      <c r="C9" s="1099"/>
      <c r="D9" s="2410" t="s">
        <v>699</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row>
    <row r="10" spans="1:61" ht="7.5" customHeight="1" x14ac:dyDescent="0.25">
      <c r="A10" s="93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649999999999999" customHeight="1" thickBot="1" x14ac:dyDescent="0.35">
      <c r="A11" s="1310"/>
      <c r="B11" s="2409"/>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899999999999999" customHeight="1" thickTop="1" thickBot="1" x14ac:dyDescent="0.35">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25">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649999999999999" customHeight="1" x14ac:dyDescent="0.25">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f>(IF(Q$7="SIM",(((Q22*P15*1000+(3731520/1)*((Q22/5)/1.5))*Q21*(1+'R&amp;C-Painel de Controle'!$D$61))+((Q22*P15*1000+(3731520/1)*((Q22/5)/1.5))*(1-Q21)/$D$5*'R&amp;C-Painel de Controle'!$D$52*(1+'R&amp;C-Painel de Controle'!$D$54)))/1000000,"-"))</f>
        <v>11.902918566625642</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649999999999999" customHeight="1" x14ac:dyDescent="0.25">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f>(IF(Q$7="SIM",(((P17-R17)*'R&amp;C-Painel de Controle'!$D$57*0.1)+(R17*('R&amp;C-Painel de Controle'!$D$60*0.25))+(250*(1+'R&amp;C-Painel de Controle'!$D$61)*((500/1)*Q22))+('R&amp;C-Painel de Controle'!$D$6*600*P16/100*(1+'R&amp;C-Painel de Controle'!$D$61)))/1000000,"-"))</f>
        <v>5.7654532425062417</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649999999999999" customHeight="1" x14ac:dyDescent="0.25">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f>(IF(Q$7="SIM",2*(20*(20+(SQRT(R17))+20))+2*(20*(R17/(SQRT(R17))))+R17,"-"))</f>
        <v>17012.398696278655</v>
      </c>
      <c r="Q17" s="1035">
        <f>(IF(Q$7="SIM",('R&amp;C-Painel de Controle'!$D$55+0.25)*P17/1000000,"-"))</f>
        <v>4.2530996740696636E-3</v>
      </c>
      <c r="R17" s="1119">
        <f>IF(Q7="SIM",(500*Q22)*(1+1/2+1/2),"-")</f>
        <v>8177.8717948717967</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649999999999999" customHeight="1" x14ac:dyDescent="0.25">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f>IF(Q7="SIM",(Q15+Q16)*R18*1000/$H$2,"-")</f>
        <v>1.3805174169897372E-2</v>
      </c>
      <c r="Q18" s="1035">
        <f>(IF(Q$7="SIM",$H$2*P18/1000,""))</f>
        <v>0.88341859045659421</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899999999999999" customHeight="1" collapsed="1" thickBot="1" x14ac:dyDescent="0.35">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f>IF(Q7="SIM",SUM(Q15:Q18)*(1+P19),"-")</f>
        <v>19.483845674225673</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25">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f>IF(Q7="SIM",Q19*1000000/$H$2,"-")</f>
        <v>304.47387675310966</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25">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25">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f>IF(Q7="SIM",($D$2/125)*5,"-")</f>
        <v>8.1778717948717965</v>
      </c>
      <c r="R22" s="365"/>
      <c r="S22" s="928"/>
      <c r="T22" s="365"/>
      <c r="U22" s="365" t="str">
        <f>IF(U7="SIM",($D$2/125)*5,"-")</f>
        <v>-</v>
      </c>
      <c r="V22" s="365"/>
      <c r="W22" s="164"/>
      <c r="X22" s="164"/>
      <c r="Y22" s="164"/>
      <c r="Z22" s="164"/>
      <c r="AA22" s="164"/>
      <c r="AB22" s="198"/>
    </row>
    <row r="23" spans="1:28" ht="18" hidden="1" customHeight="1" outlineLevel="1" x14ac:dyDescent="0.25">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f>IF(Q7="SIM",(Q15*R15+Q16*R16)/4,"-")</f>
        <v>1.1135735401110716</v>
      </c>
      <c r="R23" s="365"/>
      <c r="S23" s="928"/>
      <c r="T23" s="365"/>
      <c r="U23" s="371" t="str">
        <f>IF(U7="SIM",(U15*V15+U16*V16)/4,"-")</f>
        <v>-</v>
      </c>
      <c r="V23" s="365"/>
      <c r="W23" s="164"/>
      <c r="X23" s="164"/>
      <c r="Y23" s="164"/>
      <c r="Z23" s="164"/>
      <c r="AA23" s="164"/>
      <c r="AB23" s="198"/>
    </row>
    <row r="24" spans="1:28" s="1087" customFormat="1" ht="15" customHeight="1" thickTop="1" thickBot="1" x14ac:dyDescent="0.3">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899999999999999" customHeight="1" thickTop="1" thickBot="1" x14ac:dyDescent="0.35">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25">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649999999999999" customHeight="1" collapsed="1" x14ac:dyDescent="0.25">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f>(IF(Q$7="SIM",(Q31)*2.4*12/$H$2,"-"))</f>
        <v>8.6375841441579482</v>
      </c>
      <c r="R27" s="1233"/>
      <c r="S27" s="1191"/>
      <c r="T27" s="1232"/>
      <c r="U27" s="1089" t="str">
        <f>(IF(U$7="SIM",(U31)*2.4*12/$H$2,"-"))</f>
        <v>-</v>
      </c>
      <c r="V27" s="1239"/>
      <c r="W27" s="165"/>
      <c r="X27" s="165"/>
      <c r="Y27" s="165"/>
      <c r="Z27" s="165"/>
      <c r="AA27" s="165"/>
      <c r="AB27" s="198"/>
    </row>
    <row r="28" spans="1:28" ht="18" hidden="1" customHeight="1" outlineLevel="1" x14ac:dyDescent="0.25">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25">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25">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f>IF(Q7="SIM",(Q22/5)*3,"-")</f>
        <v>4.9067230769230772</v>
      </c>
      <c r="R30" s="1235"/>
      <c r="S30" s="1197"/>
      <c r="T30" s="1237"/>
      <c r="U30" s="372" t="str">
        <f>IF(U7="SIM",(U22/5)*3,"-")</f>
        <v>-</v>
      </c>
      <c r="V30" s="1122"/>
      <c r="W30" s="164"/>
      <c r="X30" s="164"/>
      <c r="Y30" s="164"/>
      <c r="Z30" s="164"/>
      <c r="AA30" s="164"/>
      <c r="AB30" s="198"/>
    </row>
    <row r="31" spans="1:28" ht="18" hidden="1" customHeight="1" outlineLevel="1" x14ac:dyDescent="0.25">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f>IF(Q7="SIM",0.6*'R&amp;C-Painel de Controle'!$D$63*0.25+0.6*Q29*Q30/10*'R&amp;C-Painel de Controle'!$D$64*0.25+Q30*Q29*'R&amp;C-Painel de Controle'!$D$65,"-")</f>
        <v>19192.186153846156</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649999999999999" customHeight="1" collapsed="1" x14ac:dyDescent="0.25">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f>(IF(Q$7="SIM",(Q33*$H$2/1000*'R&amp;C-Painel de Controle'!$D$68+Q34/1000*'R&amp;C-Painel de Controle'!$D$69*12)/$H$2,"-"))</f>
        <v>0</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25">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25">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649999999999999" customHeight="1" collapsed="1" x14ac:dyDescent="0.25">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f>(IF(Q$7="SIM",(Q15*1000000*Q36+Q37*12)/$H$2,"-"))</f>
        <v>8.4006477557813071</v>
      </c>
      <c r="R35" s="1221"/>
      <c r="S35" s="1199"/>
      <c r="T35" s="1280"/>
      <c r="U35" s="1089" t="str">
        <f>(IF(U$7="SIM",(U15*1000000*U36+U37*12)/$H$2,"-"))</f>
        <v>-</v>
      </c>
      <c r="V35" s="1239"/>
      <c r="W35" s="165"/>
      <c r="X35" s="165"/>
      <c r="Y35" s="165"/>
      <c r="Z35" s="165"/>
      <c r="AA35" s="165"/>
      <c r="AB35" s="198"/>
    </row>
    <row r="36" spans="1:28" ht="18" hidden="1" customHeight="1" outlineLevel="1" x14ac:dyDescent="0.25">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25">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649999999999999" customHeight="1" collapsed="1" x14ac:dyDescent="0.25">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f>(IF(Q$7="SIM",P38*Q39*Q40*12/$H$2,"-"))</f>
        <v>1.1720243086656841</v>
      </c>
      <c r="R38" s="1221"/>
      <c r="S38" s="1199"/>
      <c r="T38" s="1274">
        <v>0.25</v>
      </c>
      <c r="U38" s="1089" t="str">
        <f>(IF(U$7="SIM",T38*U39*U40*12/$H$2,"-"))</f>
        <v>-</v>
      </c>
      <c r="V38" s="1239"/>
      <c r="W38" s="165"/>
      <c r="X38" s="165"/>
      <c r="Y38" s="165"/>
      <c r="Z38" s="165"/>
      <c r="AA38" s="165"/>
      <c r="AB38" s="198"/>
    </row>
    <row r="39" spans="1:28" ht="18" hidden="1" customHeight="1" outlineLevel="1" x14ac:dyDescent="0.25">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25">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649999999999999" customHeight="1" x14ac:dyDescent="0.25">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f>(IF(Q$7="SIM",10+0.25*'R&amp;C-Painel de Controle'!$D$74+0.025*'R&amp;C-Painel de Controle'!$D$73,"-"))</f>
        <v>12.074999999999999</v>
      </c>
      <c r="R41" s="1221"/>
      <c r="S41" s="1199"/>
      <c r="T41" s="1280"/>
      <c r="U41" s="1092" t="str">
        <f>(IF(U$7="SIM",10+0.25*'R&amp;C-Painel de Controle'!$D$74+0.025*'R&amp;C-Painel de Controle'!$D$73,"-"))</f>
        <v>-</v>
      </c>
      <c r="V41" s="1239"/>
      <c r="W41" s="165"/>
      <c r="X41" s="165"/>
      <c r="Y41" s="165"/>
      <c r="Z41" s="165"/>
      <c r="AA41" s="165"/>
      <c r="AB41" s="198"/>
    </row>
    <row r="42" spans="1:28" s="1076" customFormat="1" ht="19.899999999999999" customHeight="1" x14ac:dyDescent="0.3">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f>(IF(Q$7="SIM",(Q27+Q32+Q35+Q38+Q41)*(1+P42),"-"))</f>
        <v>31.799519019035188</v>
      </c>
      <c r="R42" s="1224"/>
      <c r="S42" s="1201"/>
      <c r="T42" s="1274">
        <v>0.05</v>
      </c>
      <c r="U42" s="1082" t="str">
        <f>(IF(U$7="SIM",(U27+U32+U35+U38+U41)*(1+T42),"-"))</f>
        <v>-</v>
      </c>
      <c r="V42" s="1240"/>
      <c r="W42" s="1075"/>
      <c r="X42" s="1075"/>
      <c r="Y42" s="1075"/>
      <c r="Z42" s="1075"/>
      <c r="AA42" s="1075"/>
    </row>
    <row r="43" spans="1:28" s="1076" customFormat="1" ht="19.899999999999999" customHeight="1" x14ac:dyDescent="0.3">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f>(IF(Q$7="SIM",Q42*$H$2/1000000,"-"))</f>
        <v>2.0349099492167118</v>
      </c>
      <c r="R43" s="1226"/>
      <c r="S43" s="1102"/>
      <c r="T43" s="1225"/>
      <c r="U43" s="1040" t="str">
        <f>(IF(U$7="SIM",U42*$H$2/1000000,"-"))</f>
        <v>-</v>
      </c>
      <c r="V43" s="1226"/>
      <c r="W43" s="1075"/>
      <c r="X43" s="1075"/>
      <c r="Y43" s="1075"/>
      <c r="Z43" s="1075"/>
      <c r="AA43" s="1075"/>
    </row>
    <row r="44" spans="1:28" s="862" customFormat="1" ht="18" customHeight="1" x14ac:dyDescent="0.25">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f>(IF(Q$7="SIM",(((Q27*$H$2/12)+(Q34/1000*'R&amp;C-Painel de Controle'!$D$69*12)+(Q37*12)+(Q39*Q40*12))/1000000),"-"))</f>
        <v>0.58606124676923077</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f>(IF(Q$7="SIM",((Q43-Q44)*1000000)/$H$2,"-"))</f>
        <v>22.641145317962433</v>
      </c>
      <c r="R45" s="1230"/>
      <c r="S45" s="1058"/>
      <c r="T45" s="1228"/>
      <c r="U45" s="1241" t="str">
        <f>(IF(U$7="SIM",((U43-U44)*1000000)/$H$2,"-"))</f>
        <v>-</v>
      </c>
      <c r="V45" s="1230"/>
      <c r="W45" s="41"/>
      <c r="X45" s="41"/>
      <c r="Y45" s="41"/>
      <c r="Z45" s="41"/>
      <c r="AA45" s="41"/>
    </row>
    <row r="46" spans="1:28"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48"/>
      <c r="B1" s="2413"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899999999999999" customHeight="1" x14ac:dyDescent="0.3">
      <c r="A2" s="485"/>
      <c r="B2" s="2413"/>
      <c r="C2" s="487"/>
      <c r="D2" s="1097">
        <f>'R-Resumo Bal. Massa'!B34*(1+'R&amp;C-Painel de Controle'!H65)</f>
        <v>0</v>
      </c>
      <c r="E2" s="1098" t="s">
        <v>21</v>
      </c>
      <c r="F2" s="1087"/>
      <c r="G2" s="1087"/>
      <c r="H2" s="1305">
        <f>D2*313</f>
        <v>0</v>
      </c>
      <c r="I2" s="1304" t="s">
        <v>298</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341"/>
    </row>
    <row r="3" spans="1:28" ht="19.899999999999999" customHeight="1" x14ac:dyDescent="0.25">
      <c r="A3" s="448"/>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649999999999999" customHeight="1" x14ac:dyDescent="0.25">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899999999999999" customHeight="1" x14ac:dyDescent="0.25">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649999999999999" customHeight="1" thickTop="1" thickBot="1" x14ac:dyDescent="0.35">
      <c r="A9" s="1077"/>
      <c r="B9" s="2407" t="s">
        <v>691</v>
      </c>
      <c r="C9" s="1099"/>
      <c r="D9" s="2410" t="s">
        <v>702</v>
      </c>
      <c r="E9" s="2411"/>
      <c r="F9" s="2411"/>
      <c r="G9" s="2411"/>
      <c r="H9" s="2411"/>
      <c r="I9" s="2411"/>
      <c r="J9" s="2411"/>
      <c r="K9" s="2411"/>
      <c r="L9" s="2411"/>
      <c r="M9" s="2411"/>
      <c r="N9" s="2411"/>
      <c r="O9" s="2411"/>
      <c r="P9" s="2411"/>
      <c r="Q9" s="2411"/>
      <c r="R9" s="2411"/>
      <c r="S9" s="2411"/>
      <c r="T9" s="2411"/>
      <c r="U9" s="2411"/>
      <c r="V9" s="2412"/>
      <c r="W9" s="1299"/>
      <c r="X9" s="1299"/>
      <c r="Y9" s="1299"/>
      <c r="Z9" s="1299"/>
      <c r="AA9" s="1313"/>
      <c r="AB9" s="1079"/>
    </row>
    <row r="10" spans="1:28" ht="7.5" customHeight="1" x14ac:dyDescent="0.25">
      <c r="A10" s="448"/>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649999999999999" customHeight="1" thickBot="1" x14ac:dyDescent="0.35">
      <c r="A11" s="1077"/>
      <c r="B11" s="2409"/>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899999999999999" customHeight="1" thickTop="1" thickBot="1" x14ac:dyDescent="0.35">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25">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649999999999999" customHeight="1" x14ac:dyDescent="0.25">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649999999999999" customHeight="1" x14ac:dyDescent="0.25">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649999999999999" customHeight="1" x14ac:dyDescent="0.25">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649999999999999" customHeight="1" x14ac:dyDescent="0.25">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899999999999999" customHeight="1" collapsed="1" thickBot="1" x14ac:dyDescent="0.35">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25">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25">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25">
      <c r="A22" s="448"/>
      <c r="B22" s="945" t="s">
        <v>703</v>
      </c>
      <c r="C22" s="933"/>
      <c r="D22" s="387">
        <f>$H$2/4250</f>
        <v>0</v>
      </c>
      <c r="E22" s="338">
        <f>((($H$2/0.57)/52)*(E23))/(3.5*E24)</f>
        <v>0</v>
      </c>
      <c r="F22" s="378"/>
      <c r="G22" s="933"/>
      <c r="H22" s="387">
        <f>$H$2/4250</f>
        <v>0</v>
      </c>
      <c r="I22" s="338">
        <f>((($H$2/0.57)/52)*(I23))/(3.5*I24)</f>
        <v>0</v>
      </c>
      <c r="J22" s="378"/>
      <c r="K22" s="933"/>
      <c r="L22" s="387">
        <f>$H$2/4250</f>
        <v>0</v>
      </c>
      <c r="M22" s="338">
        <f>((($H$2/0.57)/52)*(M23))/(3.5*M24)</f>
        <v>0</v>
      </c>
      <c r="N22" s="378"/>
      <c r="O22" s="933"/>
      <c r="P22" s="387">
        <f>$H$2/4250</f>
        <v>0</v>
      </c>
      <c r="Q22" s="338">
        <f>((($H$2/0.57)/52)*(Q23))/(3.5*Q24)</f>
        <v>0</v>
      </c>
      <c r="R22" s="378"/>
      <c r="S22" s="933"/>
      <c r="T22" s="387">
        <f>$H$2/4250</f>
        <v>0</v>
      </c>
      <c r="U22" s="338">
        <f>((($H$2/0.57)/52)*(U23))/(3.5*U24)</f>
        <v>0</v>
      </c>
      <c r="V22" s="378"/>
      <c r="W22" s="164"/>
      <c r="X22" s="164"/>
      <c r="Y22" s="164"/>
      <c r="Z22" s="182"/>
      <c r="AA22" s="182"/>
      <c r="AB22" s="164"/>
    </row>
    <row r="23" spans="1:28" ht="18" hidden="1" customHeight="1" outlineLevel="1" x14ac:dyDescent="0.25">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25">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25">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25">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899999999999999" customHeight="1" thickTop="1" thickBot="1" x14ac:dyDescent="0.35">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25">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649999999999999" customHeight="1" collapsed="1" x14ac:dyDescent="0.25">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25">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25">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25">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25">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649999999999999" customHeight="1" collapsed="1" x14ac:dyDescent="0.25">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25">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25">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649999999999999" customHeight="1" collapsed="1" x14ac:dyDescent="0.25">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25">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25">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649999999999999" customHeight="1" collapsed="1" x14ac:dyDescent="0.25">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25">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25">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649999999999999" customHeight="1" x14ac:dyDescent="0.25">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899999999999999" customHeight="1" x14ac:dyDescent="0.3">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899999999999999" customHeight="1" x14ac:dyDescent="0.3">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649999999999999" customHeight="1" x14ac:dyDescent="0.25">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649999999999999" customHeight="1" thickBot="1" x14ac:dyDescent="0.3">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25">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25">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25">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25">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25">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25">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25">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198" customFormat="1" ht="19.899999999999999" customHeight="1" x14ac:dyDescent="0.25">
      <c r="A1" s="484"/>
      <c r="B1" s="2413"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899999999999999" customHeight="1" x14ac:dyDescent="0.3">
      <c r="A2" s="946"/>
      <c r="B2" s="2413"/>
      <c r="C2" s="487"/>
      <c r="D2" s="1097">
        <f>'R-Resumo Bal. Massa'!B39*(1+'R&amp;C-Painel de Controle'!H71)</f>
        <v>0</v>
      </c>
      <c r="E2" s="1098" t="s">
        <v>21</v>
      </c>
      <c r="F2" s="1307"/>
      <c r="G2" s="1307"/>
      <c r="H2" s="1305">
        <f>D2*313</f>
        <v>0</v>
      </c>
      <c r="I2" s="1304" t="s">
        <v>298</v>
      </c>
      <c r="J2" s="1307"/>
      <c r="K2" s="130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899999999999999" customHeight="1" x14ac:dyDescent="0.25">
      <c r="A3" s="484"/>
      <c r="B3" s="2413"/>
      <c r="C3" s="478"/>
      <c r="D3" s="477"/>
      <c r="E3" s="477"/>
      <c r="F3" s="477"/>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25">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649999999999999" customHeight="1" x14ac:dyDescent="0.25">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25">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899999999999999" customHeight="1" x14ac:dyDescent="0.25">
      <c r="A7" s="484"/>
      <c r="B7" s="1054" t="s">
        <v>935</v>
      </c>
      <c r="C7" s="1038"/>
      <c r="D7" s="1596" t="e">
        <f>(2.6*('R-Definição'!O111/'R-Definição'!E112))/(0.97*'R-Definição'!E114)</f>
        <v>#DIV/0!</v>
      </c>
      <c r="E7" s="1254" t="str">
        <f>IF(AND(L2="Sim",$D$2&gt;D11,$D$2&lt;=F11),"SIM","NÃO")</f>
        <v>NÃO</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649999999999999" customHeight="1" thickTop="1" thickBot="1" x14ac:dyDescent="0.35">
      <c r="A9" s="1324"/>
      <c r="B9" s="2407" t="s">
        <v>691</v>
      </c>
      <c r="C9" s="1099"/>
      <c r="D9" s="2410" t="s">
        <v>448</v>
      </c>
      <c r="E9" s="2411"/>
      <c r="F9" s="2411"/>
      <c r="G9" s="2411"/>
      <c r="H9" s="2411"/>
      <c r="I9" s="2411"/>
      <c r="J9" s="2411"/>
      <c r="K9" s="2411"/>
      <c r="L9" s="2411"/>
      <c r="M9" s="2411"/>
      <c r="N9" s="2411"/>
      <c r="O9" s="2411"/>
      <c r="P9" s="2411"/>
      <c r="Q9" s="2411"/>
      <c r="R9" s="2411"/>
      <c r="S9" s="2411"/>
      <c r="T9" s="2411"/>
      <c r="U9" s="2411"/>
      <c r="V9" s="2412"/>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
      <c r="A10" s="1324"/>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649999999999999" customHeight="1" thickBot="1" x14ac:dyDescent="0.35">
      <c r="A11" s="1324"/>
      <c r="B11" s="2409"/>
      <c r="C11" s="1099"/>
      <c r="D11" s="1264">
        <v>350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899999999999999" customHeight="1" thickTop="1" thickBot="1" x14ac:dyDescent="0.35">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25">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649999999999999" customHeight="1" x14ac:dyDescent="0.25">
      <c r="A15" s="484"/>
      <c r="B15" s="1111" t="s">
        <v>425</v>
      </c>
      <c r="C15" s="1058"/>
      <c r="D15" s="1275">
        <f>(IF('R&amp;C-Painel de Controle'!$C$58="Tecnologia Chinesa",572.251338598527*D22, 572.251338598527))*F7</f>
        <v>414.88222048393209</v>
      </c>
      <c r="E15" s="1035"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115">
        <v>0.15</v>
      </c>
      <c r="G15" s="1058"/>
      <c r="H15" s="1275">
        <f>(IF('R&amp;C-Painel de Controle'!$C$58="Tecnologia Chinesa",525.884311407721*H$22, 525.884311407721))*F7</f>
        <v>381.26612577059774</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f>
        <v>345.18388161848117</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f>
        <v>321.12701550499042</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f>
        <v>308.87701741503696</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649999999999999" customHeight="1" x14ac:dyDescent="0.25">
      <c r="A16" s="484"/>
      <c r="B16" s="1111" t="s">
        <v>692</v>
      </c>
      <c r="C16" s="1058"/>
      <c r="D16" s="1116">
        <f>(IF('R&amp;C-Painel de Controle'!$C$58="Tecnologia Chinesa",245.250573685083*D22*(1-E24), 245.250573685083*(1-E24)))*F7</f>
        <v>133.35499944126386</v>
      </c>
      <c r="E16" s="1035"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649999999999999" customHeight="1" x14ac:dyDescent="0.25">
      <c r="A17" s="484"/>
      <c r="B17" s="1111" t="s">
        <v>845</v>
      </c>
      <c r="C17" s="1058"/>
      <c r="D17" s="1118">
        <f>4*F17</f>
        <v>96000</v>
      </c>
      <c r="E17" s="1035" t="str">
        <f>(IF(E$7="SIM",('R&amp;C-Painel de Controle'!$D$55+0.25)*D17/1000000,"-"))</f>
        <v>-</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649999999999999" customHeight="1" x14ac:dyDescent="0.25">
      <c r="A18" s="484"/>
      <c r="B18" s="1111" t="s">
        <v>487</v>
      </c>
      <c r="C18" s="1058"/>
      <c r="D18" s="1276" t="str">
        <f>IF(E7="SIM",(E15+E16)*F18*1000/$H$2,"-")</f>
        <v>-</v>
      </c>
      <c r="E18" s="1035" t="str">
        <f>(IF(E$7="SIM",$H$2*D18/1000,""))</f>
        <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899999999999999" customHeight="1" collapsed="1" thickBot="1" x14ac:dyDescent="0.35">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899999999999999" hidden="1" customHeight="1" outlineLevel="1" thickTop="1" x14ac:dyDescent="0.25">
      <c r="A20" s="484"/>
      <c r="B20" s="937" t="s">
        <v>427</v>
      </c>
      <c r="C20" s="933"/>
      <c r="D20" s="340" t="s">
        <v>338</v>
      </c>
      <c r="E20" s="338" t="str">
        <f>IF(E7="SIM",E19*1000000/$H$2,"-")</f>
        <v>-</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899999999999999" hidden="1" customHeight="1" outlineLevel="1" x14ac:dyDescent="0.25">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899999999999999" hidden="1" customHeight="1" outlineLevel="1" x14ac:dyDescent="0.25">
      <c r="A22" s="484"/>
      <c r="B22" s="937" t="s">
        <v>705</v>
      </c>
      <c r="C22" s="933"/>
      <c r="D22" s="380">
        <v>0.37</v>
      </c>
      <c r="E22" s="384" t="str">
        <f>IF(E7="SIM",$D$2*313/(8000*E23),"-")</f>
        <v>-</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899999999999999" hidden="1" customHeight="1" outlineLevel="1" x14ac:dyDescent="0.25">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899999999999999" hidden="1" customHeight="1" outlineLevel="1" x14ac:dyDescent="0.25">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899999999999999" hidden="1" customHeight="1" outlineLevel="1" x14ac:dyDescent="0.25">
      <c r="A25" s="484"/>
      <c r="B25" s="937" t="s">
        <v>484</v>
      </c>
      <c r="C25" s="935"/>
      <c r="D25" s="380"/>
      <c r="E25" s="382" t="str">
        <f>IF(E7="SIM",'R&amp;C-Painel de Controle'!$D$58*(E15*F15+E16*F16)/4+(1-'R&amp;C-Painel de Controle'!$D$58)*(E15*F15*1.25+E16*F16)/4,"-")</f>
        <v>-</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899999999999999" customHeight="1" thickTop="1" thickBot="1" x14ac:dyDescent="0.35">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25">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649999999999999" customHeight="1" collapsed="1" x14ac:dyDescent="0.25">
      <c r="A29" s="483"/>
      <c r="B29" s="1111" t="s">
        <v>430</v>
      </c>
      <c r="C29" s="1058"/>
      <c r="D29" s="1217"/>
      <c r="E29" s="1088" t="str">
        <f>(IF(E$7="SIM",(E33)*2.4*12/$H$2,"-"))</f>
        <v>-</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25">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899999999999999" hidden="1" customHeight="1" outlineLevel="1" x14ac:dyDescent="0.25">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899999999999999" hidden="1" customHeight="1" outlineLevel="1" x14ac:dyDescent="0.25">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899999999999999" hidden="1" customHeight="1" outlineLevel="1" x14ac:dyDescent="0.25">
      <c r="A33" s="484"/>
      <c r="B33" s="1211" t="s">
        <v>683</v>
      </c>
      <c r="C33" s="1101"/>
      <c r="D33" s="1215"/>
      <c r="E33" s="369" t="str">
        <f>IF(E$7="SIM",'R&amp;C-Painel de Controle'!$D$63+(E31*3/10+E32)*'R&amp;C-Painel de Controle'!$D$64+E31*E22*3*'R&amp;C-Painel de Controle'!$D$65,"-")</f>
        <v>-</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649999999999999" customHeight="1" collapsed="1" x14ac:dyDescent="0.25">
      <c r="A34" s="483"/>
      <c r="B34" s="1111" t="s">
        <v>431</v>
      </c>
      <c r="C34" s="1058"/>
      <c r="D34" s="1217"/>
      <c r="E34" s="1088" t="str">
        <f>(IF(E$7="SIM",(E35*$H$2/1000*'R&amp;C-Painel de Controle'!$D$68+E36/1000*'R&amp;C-Painel de Controle'!$D$69*12)/$H$2,"-"))</f>
        <v>-</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899999999999999" hidden="1" customHeight="1" outlineLevel="1" x14ac:dyDescent="0.25">
      <c r="A35" s="484"/>
      <c r="B35" s="937" t="s">
        <v>708</v>
      </c>
      <c r="C35" s="933"/>
      <c r="D35" s="1703">
        <v>3.2500000000000001E-2</v>
      </c>
      <c r="E35" s="338">
        <f>(1-'R&amp;C-Painel de Controle'!$D$58)*F35*'R-Definição'!$E$114+('R&amp;C-Painel de Controle'!$D$58)*D35*'R-Definição'!$E$114</f>
        <v>0</v>
      </c>
      <c r="F35" s="868">
        <f>D35*(1+F34)</f>
        <v>4.0625000000000001E-2</v>
      </c>
      <c r="G35" s="935"/>
      <c r="H35" s="1703">
        <f>D35*95%</f>
        <v>3.0875E-2</v>
      </c>
      <c r="I35" s="338">
        <f>(1-'R&amp;C-Painel de Controle'!$D$58)*J35*'R-Definição'!$E$114+('R&amp;C-Painel de Controle'!$D$58)*H35*'R-Definição'!$E$114</f>
        <v>0</v>
      </c>
      <c r="J35" s="868">
        <f>H35*(1+J34)</f>
        <v>3.8593749999999996E-2</v>
      </c>
      <c r="K35" s="935"/>
      <c r="L35" s="1703">
        <f>H35*95%</f>
        <v>2.933125E-2</v>
      </c>
      <c r="M35" s="338">
        <f>(1-'R&amp;C-Painel de Controle'!$D$58)*N35*'R-Definição'!$E$114+('R&amp;C-Painel de Controle'!$D$58)*L35*'R-Definição'!$E$114</f>
        <v>0</v>
      </c>
      <c r="N35" s="868">
        <f>L35*(1+N34)</f>
        <v>3.6664062499999997E-2</v>
      </c>
      <c r="O35" s="935"/>
      <c r="P35" s="1703">
        <f>L35*95%</f>
        <v>2.7864687499999999E-2</v>
      </c>
      <c r="Q35" s="338">
        <f>(1-'R&amp;C-Painel de Controle'!$D$58)*R35*'R-Definição'!$E$114+('R&amp;C-Painel de Controle'!$D$58)*P35*'R-Definição'!$E$114</f>
        <v>0</v>
      </c>
      <c r="R35" s="868">
        <f>P35*(1+R34)</f>
        <v>3.4830859374999995E-2</v>
      </c>
      <c r="S35" s="935"/>
      <c r="T35" s="1703">
        <f>P35*95%</f>
        <v>2.6471453124999999E-2</v>
      </c>
      <c r="U35" s="338">
        <f>(1-'R&amp;C-Painel de Controle'!$D$58)*V35*'R-Definição'!$E$114+('R&amp;C-Painel de Controle'!$D$58)*T35*'R-Definição'!$E$114</f>
        <v>0</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899999999999999" hidden="1" customHeight="1" outlineLevel="1" x14ac:dyDescent="0.25">
      <c r="A36" s="484"/>
      <c r="B36" s="937" t="s">
        <v>685</v>
      </c>
      <c r="C36" s="933"/>
      <c r="D36" s="516"/>
      <c r="E36" s="338">
        <f>E35*F11*(0.9)*0.92/24</f>
        <v>0</v>
      </c>
      <c r="F36" s="516"/>
      <c r="G36" s="934"/>
      <c r="H36" s="516"/>
      <c r="I36" s="338">
        <f>I35*J11*(0.9)*0.92/24</f>
        <v>0</v>
      </c>
      <c r="J36" s="516"/>
      <c r="K36" s="934"/>
      <c r="L36" s="516"/>
      <c r="M36" s="338">
        <f>M35*N11*(0.9)*0.92/24</f>
        <v>0</v>
      </c>
      <c r="N36" s="516"/>
      <c r="O36" s="934"/>
      <c r="P36" s="516"/>
      <c r="Q36" s="338">
        <f>Q35*R11*(0.9)*0.92/24</f>
        <v>0</v>
      </c>
      <c r="R36" s="516"/>
      <c r="S36" s="934"/>
      <c r="T36" s="516"/>
      <c r="U36" s="338">
        <f>U35*V11*(0.9)*0.92/24</f>
        <v>0</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649999999999999" customHeight="1" collapsed="1" x14ac:dyDescent="0.25">
      <c r="A37" s="1337"/>
      <c r="B37" s="1111" t="s">
        <v>432</v>
      </c>
      <c r="C37" s="1337"/>
      <c r="D37" s="1353"/>
      <c r="E37" s="337" t="str">
        <f>(IF(E$7="SIM",(E15*1000000*E38+E39*12)/$H$2,"-"))</f>
        <v>-</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899999999999999" hidden="1" customHeight="1" outlineLevel="1" x14ac:dyDescent="0.25">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899999999999999" hidden="1" customHeight="1" outlineLevel="1" x14ac:dyDescent="0.25">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649999999999999" customHeight="1" collapsed="1" x14ac:dyDescent="0.25">
      <c r="A40" s="1337"/>
      <c r="B40" s="1111" t="s">
        <v>434</v>
      </c>
      <c r="C40" s="1337"/>
      <c r="D40" s="1353"/>
      <c r="E40" s="337" t="str">
        <f>(IF(E$7="SIM",(E43+E41*E42*D41)*12/$H$2,"-"))</f>
        <v>-</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899999999999999" hidden="1" customHeight="1" outlineLevel="1" x14ac:dyDescent="0.25">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899999999999999" hidden="1" customHeight="1" outlineLevel="1" x14ac:dyDescent="0.25">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899999999999999" hidden="1" customHeight="1" outlineLevel="1" x14ac:dyDescent="0.25">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649999999999999" customHeight="1" collapsed="1" x14ac:dyDescent="0.25">
      <c r="A44" s="1337"/>
      <c r="B44" s="1111" t="s">
        <v>439</v>
      </c>
      <c r="C44" s="1337"/>
      <c r="D44" s="1353"/>
      <c r="E44" s="337" t="str">
        <f>(IF(E$7="SIM",($H$2*E45*'R&amp;C-Painel de Controle'!$D75+$H$2*E46*'R&amp;C-Painel de Controle'!$D$76+$H$2*E47*'R&amp;C-Painel de Controle'!$D$77+$H$2*E48*'R&amp;C-Painel de Controle'!$D$79+$H$2*E49*'R&amp;C-Painel de Controle'!$D$78+'R-Resumo Bal. Massa'!$G$39*313*E50*'R&amp;C-Painel de Controle'!$D$90)/$H$2+2.5,"-"))</f>
        <v>-</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899999999999999" hidden="1" customHeight="1" outlineLevel="1" x14ac:dyDescent="0.25">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899999999999999" hidden="1" customHeight="1" outlineLevel="1" x14ac:dyDescent="0.25">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899999999999999" hidden="1" customHeight="1" outlineLevel="1" x14ac:dyDescent="0.25">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899999999999999" hidden="1" customHeight="1" outlineLevel="1" x14ac:dyDescent="0.25">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899999999999999" hidden="1" customHeight="1" outlineLevel="1" x14ac:dyDescent="0.25">
      <c r="A49" s="724"/>
      <c r="B49" s="1349" t="s">
        <v>1116</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899999999999999" hidden="1" customHeight="1" outlineLevel="1" x14ac:dyDescent="0.25">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899999999999999" customHeight="1" x14ac:dyDescent="0.3">
      <c r="A51" s="1338"/>
      <c r="B51" s="1350" t="s">
        <v>435</v>
      </c>
      <c r="C51" s="1338"/>
      <c r="D51" s="1702">
        <v>2.5000000000000001E-2</v>
      </c>
      <c r="E51" s="1319" t="str">
        <f>(IF(E$7="SIM",(1-'R&amp;C-Painel de Controle'!$D$58)*(E29+E34+E37+E40+E44)*(1+F51)+('R&amp;C-Painel de Controle'!$D$58)*(E29+E34+E37+E40+E44)*(1+D51),"-"))</f>
        <v>-</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899999999999999" customHeight="1" x14ac:dyDescent="0.3">
      <c r="A52" s="1338"/>
      <c r="B52" s="1350" t="s">
        <v>436</v>
      </c>
      <c r="C52" s="1338"/>
      <c r="D52" s="1366"/>
      <c r="E52" s="1323" t="str">
        <f>(IF(E$7="SIM",E51*$H$2/1000000,"-"))</f>
        <v>-</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899999999999999" customHeight="1" x14ac:dyDescent="0.25">
      <c r="A53" s="1339"/>
      <c r="B53" s="1351" t="s">
        <v>437</v>
      </c>
      <c r="C53" s="1339"/>
      <c r="D53" s="1368"/>
      <c r="E53" s="1333" t="str">
        <f>(IF(E$7="SIM",(((E29*$H$2/12)+(E36/1000*'R&amp;C-Painel de Controle'!$D$69*12)+(E39*12)+((E41*E42)+E43)*12))/1000000,"-"))</f>
        <v>-</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899999999999999" customHeight="1" thickBot="1" x14ac:dyDescent="0.3">
      <c r="A54" s="1339"/>
      <c r="B54" s="1352" t="s">
        <v>438</v>
      </c>
      <c r="C54" s="1339"/>
      <c r="D54" s="1370"/>
      <c r="E54" s="1371" t="str">
        <f>(IF(E$7="SIM",((E52-E53)*1000000)/$H$2,"-"))</f>
        <v>-</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25">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76"/>
      <c r="B1" s="2413" t="s">
        <v>867</v>
      </c>
      <c r="C1" s="484"/>
      <c r="D1" s="484"/>
      <c r="E1" s="484"/>
      <c r="F1" s="484"/>
      <c r="G1" s="484"/>
      <c r="H1" s="484"/>
      <c r="I1" s="484"/>
      <c r="J1" s="1334"/>
      <c r="K1" s="1334"/>
      <c r="L1" s="1334"/>
      <c r="M1" s="1334"/>
      <c r="N1" s="484"/>
      <c r="O1" s="484"/>
      <c r="P1" s="484"/>
      <c r="Q1" s="484"/>
      <c r="R1" s="484"/>
      <c r="S1" s="484"/>
      <c r="T1" s="484"/>
      <c r="U1" s="484"/>
      <c r="V1" s="484"/>
    </row>
    <row r="2" spans="1:61" ht="19.899999999999999" customHeight="1" x14ac:dyDescent="0.3">
      <c r="A2" s="947"/>
      <c r="B2" s="2413"/>
      <c r="C2" s="487"/>
      <c r="D2" s="1097">
        <f>IF('R-Definição'!E121="Novo",('R-Resumo Bal. Massa'!B47+'R&amp;C-Painel de Controle'!D31)*(1+'R&amp;C-Painel de Controle'!H74),0)</f>
        <v>248.85240384615389</v>
      </c>
      <c r="E2" s="1098" t="s">
        <v>21</v>
      </c>
      <c r="F2" s="1307"/>
      <c r="G2" s="1307"/>
      <c r="H2" s="1305">
        <f>D2*313</f>
        <v>77890.802403846174</v>
      </c>
      <c r="I2" s="1304" t="s">
        <v>298</v>
      </c>
      <c r="J2" s="1307"/>
      <c r="K2" s="130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899999999999999" customHeight="1" x14ac:dyDescent="0.25">
      <c r="A3" s="476"/>
      <c r="B3" s="2413"/>
      <c r="C3" s="478"/>
      <c r="D3" s="477"/>
      <c r="E3" s="477"/>
      <c r="F3" s="477"/>
      <c r="G3" s="477"/>
      <c r="H3" s="477"/>
      <c r="I3" s="477"/>
      <c r="J3" s="477"/>
      <c r="K3" s="477"/>
      <c r="L3" s="477"/>
      <c r="M3" s="477"/>
      <c r="N3" s="477"/>
      <c r="O3" s="482"/>
      <c r="P3" s="477"/>
      <c r="Q3" s="477"/>
      <c r="R3" s="477"/>
      <c r="S3" s="477"/>
      <c r="T3" s="477"/>
      <c r="U3" s="477"/>
      <c r="V3" s="477"/>
    </row>
    <row r="4" spans="1:61" s="1307" customFormat="1" ht="7.9" customHeight="1" x14ac:dyDescent="0.25">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 customHeight="1" x14ac:dyDescent="0.25">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899999999999999" customHeight="1" x14ac:dyDescent="0.25">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1307" customFormat="1" ht="7.9" customHeight="1" thickBot="1" x14ac:dyDescent="0.3">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A9" s="476"/>
      <c r="B9" s="2407" t="s">
        <v>691</v>
      </c>
      <c r="C9" s="1099"/>
      <c r="D9" s="2410" t="s">
        <v>451</v>
      </c>
      <c r="E9" s="2411"/>
      <c r="F9" s="2411"/>
      <c r="G9" s="2411"/>
      <c r="H9" s="2411"/>
      <c r="I9" s="2411"/>
      <c r="J9" s="2411"/>
      <c r="K9" s="2411"/>
      <c r="L9" s="2411"/>
      <c r="M9" s="2411"/>
      <c r="N9" s="2411"/>
      <c r="O9" s="2411"/>
      <c r="P9" s="2411"/>
      <c r="Q9" s="2411"/>
      <c r="R9" s="2411"/>
      <c r="S9" s="2411"/>
      <c r="T9" s="2411"/>
      <c r="U9" s="2411"/>
      <c r="V9" s="2412"/>
    </row>
    <row r="10" spans="1:61" ht="7.5" customHeight="1" x14ac:dyDescent="0.25">
      <c r="A10" s="476"/>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A11" s="476"/>
      <c r="B11" s="2409"/>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 customHeight="1" thickTop="1" thickBot="1" x14ac:dyDescent="0.3">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899999999999999" customHeight="1" thickTop="1" thickBot="1" x14ac:dyDescent="0.35">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 customHeight="1" x14ac:dyDescent="0.25">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899999999999999" customHeight="1" x14ac:dyDescent="0.25">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f>(IF(M$7="SIM",L15*(1-(($D$2-L$11)/(N$11-L$11)))+N15*(1-((N$11-$D$2)/(N$11-L$11))),"-"))</f>
        <v>1.2148409003774039</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899999999999999" customHeight="1" x14ac:dyDescent="0.25">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f>(IF(M$7="SIM",L16*(1-(($D$2-L$11)/(N$11-L$11)))+N16*(1-((N$11-$D$2)/(N$11-L$11))),"-"))</f>
        <v>14.272315255593753</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899999999999999" customHeight="1" x14ac:dyDescent="0.25">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f>(IF(M$7="SIM",(L17*(1-(($D$2-L$11)/(N$11-L$11)))+N17*(1-((N$11-$D$2)/(N$11-L$11))))*10000*('R&amp;C-Painel de Controle'!$D$56+0.18)/1000000,"-"))</f>
        <v>4.1379335550120198</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899999999999999" customHeight="1" x14ac:dyDescent="0.3">
      <c r="A18" s="1453"/>
      <c r="B18" s="1435" t="s">
        <v>426</v>
      </c>
      <c r="C18" s="1454"/>
      <c r="D18" s="1455" t="s">
        <v>338</v>
      </c>
      <c r="E18" s="1456" t="str">
        <f>IF(E7="SIM",SUM(E15:E17),"-")</f>
        <v>-</v>
      </c>
      <c r="F18" s="1457"/>
      <c r="G18" s="1454"/>
      <c r="H18" s="1458"/>
      <c r="I18" s="1456" t="str">
        <f>IF(I7="SIM",SUM(I15:I17),"-")</f>
        <v>-</v>
      </c>
      <c r="J18" s="1459"/>
      <c r="K18" s="1454"/>
      <c r="L18" s="1458"/>
      <c r="M18" s="1456">
        <f>IF(M7="SIM",SUM(M15:M17),"-")</f>
        <v>19.625089710983175</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899999999999999" customHeight="1" outlineLevel="1" x14ac:dyDescent="0.25">
      <c r="A19" s="1380"/>
      <c r="B19" s="1348" t="s">
        <v>427</v>
      </c>
      <c r="C19" s="724"/>
      <c r="D19" s="1444" t="s">
        <v>338</v>
      </c>
      <c r="E19" s="338" t="str">
        <f>IF(E7="SIM",E18*1000000/$H$2,"-")</f>
        <v>-</v>
      </c>
      <c r="F19" s="1445"/>
      <c r="G19" s="724"/>
      <c r="H19" s="1437"/>
      <c r="I19" s="338" t="str">
        <f>IF(I7="SIM",I18*1000000/$H$2,"-")</f>
        <v>-</v>
      </c>
      <c r="J19" s="1438"/>
      <c r="K19" s="724"/>
      <c r="L19" s="1437"/>
      <c r="M19" s="338">
        <f>IF(M7="SIM",M18*1000000/$H$2,"-")</f>
        <v>251.95644550214709</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899999999999999" customHeight="1" outlineLevel="1" x14ac:dyDescent="0.25">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899999999999999" customHeight="1" collapsed="1" x14ac:dyDescent="0.25">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f>(IF(M$7="SIM",L21*(1-(($D$2-L11)/(N11-L11)))+N21*(1-((N11-$D$2)/(N11-L11))),"-"))</f>
        <v>7.3259224662271629</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899999999999999" customHeight="1" thickBot="1" x14ac:dyDescent="0.3">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f>(IF(M$7="SIM",L22*(1-(($D$2-L11)/(N11-L11)))+N22*(1-((N11-$D$2)/(N11-L11))),"-"))</f>
        <v>16.502935913585858</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899999999999999" customHeight="1" thickTop="1" thickBot="1" x14ac:dyDescent="0.35">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 customHeight="1" x14ac:dyDescent="0.25">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899999999999999" customHeight="1" x14ac:dyDescent="0.25">
      <c r="A26" s="766"/>
      <c r="B26" s="1210" t="s">
        <v>851</v>
      </c>
      <c r="C26" s="1384"/>
      <c r="D26" s="1400"/>
      <c r="E26" s="412" t="str">
        <f>(IF(E$7="SIM",E27+E28,"-"))</f>
        <v>-</v>
      </c>
      <c r="F26" s="1401"/>
      <c r="G26" s="1384"/>
      <c r="H26" s="1400"/>
      <c r="I26" s="412" t="str">
        <f>(IF(I$7="SIM",I27+I28,"-"))</f>
        <v>-</v>
      </c>
      <c r="J26" s="1401"/>
      <c r="K26" s="1384"/>
      <c r="L26" s="1400"/>
      <c r="M26" s="412">
        <f>(IF(M$7="SIM",M27+M28,"-"))</f>
        <v>1.8944821020845422</v>
      </c>
      <c r="N26" s="1401"/>
      <c r="O26" s="1384"/>
      <c r="P26" s="1400"/>
      <c r="Q26" s="412" t="str">
        <f>(IF(Q$7="SIM",Q27+Q28,"-"))</f>
        <v>-</v>
      </c>
      <c r="R26" s="1401"/>
      <c r="S26" s="1384"/>
      <c r="T26" s="1400"/>
      <c r="U26" s="412" t="str">
        <f>(IF(U$7="SIM",U27+U28,"-"))</f>
        <v>-</v>
      </c>
      <c r="V26" s="1414"/>
      <c r="W26" s="1393"/>
    </row>
    <row r="27" spans="1:61" ht="16.899999999999999" customHeight="1" outlineLevel="1" x14ac:dyDescent="0.25">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f>(IF(M$7="SIM",(L27*(1-(($D$2-L$11)/(N$11-L$11)))+N27*(1-((N$11-$D$2)/(N$11-L$11))))/1000000,"-"))</f>
        <v>1.0642052687078551</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899999999999999" customHeight="1" outlineLevel="1" x14ac:dyDescent="0.25">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f>(IF(M$7="SIM",(L28*(1-(($D$2-L$11)/(N$11-L$11)))+N28*(1-((N$11-$D$2)/(N$11-L$11))))/1000000,"-"))</f>
        <v>0.83027683337668701</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899999999999999" customHeight="1" x14ac:dyDescent="0.25">
      <c r="A29" s="1380"/>
      <c r="B29" s="1210" t="s">
        <v>850</v>
      </c>
      <c r="C29" s="1385"/>
      <c r="D29" s="1402"/>
      <c r="E29" s="412" t="str">
        <f>(IF(E$7="SIM",E30,"-"))</f>
        <v>-</v>
      </c>
      <c r="F29" s="1403"/>
      <c r="G29" s="1387"/>
      <c r="H29" s="1402"/>
      <c r="I29" s="412" t="str">
        <f>(IF(I$7="SIM",I30,"-"))</f>
        <v>-</v>
      </c>
      <c r="J29" s="1403"/>
      <c r="K29" s="1387"/>
      <c r="L29" s="1402"/>
      <c r="M29" s="412">
        <f>(IF(M$7="SIM",M30,"-"))</f>
        <v>1.5474235618856838E-2</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899999999999999" customHeight="1" outlineLevel="1" x14ac:dyDescent="0.25">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f>(IF(M$7="SIM",(L30*(1-(($D$2-L$11)/(N$11-L$11)))+N30*(1-((N$11-$D$2)/(N$11-L$11))))/1000000,"-"))</f>
        <v>1.5474235618856838E-2</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899999999999999" customHeight="1" x14ac:dyDescent="0.25">
      <c r="A31" s="766"/>
      <c r="B31" s="1210" t="s">
        <v>852</v>
      </c>
      <c r="C31" s="1384"/>
      <c r="D31" s="1402"/>
      <c r="E31" s="412" t="str">
        <f>(IF(E$7="SIM",E32+E33+E34+E35,"-"))</f>
        <v>-</v>
      </c>
      <c r="F31" s="1403"/>
      <c r="G31" s="1388"/>
      <c r="H31" s="1402"/>
      <c r="I31" s="412" t="str">
        <f>(IF(I$7="SIM",I32+I33+I34+I35,"-"))</f>
        <v>-</v>
      </c>
      <c r="J31" s="1403"/>
      <c r="K31" s="1388"/>
      <c r="L31" s="1402"/>
      <c r="M31" s="412">
        <f>(IF(M$7="SIM",M32+M33+M34+M35,"-"))</f>
        <v>0.18372654770009084</v>
      </c>
      <c r="N31" s="1403"/>
      <c r="O31" s="1388"/>
      <c r="P31" s="1402"/>
      <c r="Q31" s="412" t="str">
        <f>(IF(Q$7="SIM",Q32+Q33+Q34+Q35,"-"))</f>
        <v>-</v>
      </c>
      <c r="R31" s="1403"/>
      <c r="S31" s="1388"/>
      <c r="T31" s="1402"/>
      <c r="U31" s="412" t="str">
        <f>(IF(U$7="SIM",U32+U33+U34+U35,"-"))</f>
        <v>-</v>
      </c>
      <c r="V31" s="1415"/>
      <c r="W31" s="1393"/>
      <c r="X31" s="25"/>
    </row>
    <row r="32" spans="1:61" ht="16.899999999999999" customHeight="1" outlineLevel="1" x14ac:dyDescent="0.25">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f>(IF(M$7="SIM",(L32*(1-(($D$2-L$11)/(N$11-L$11)))+N32*(1-((N$11-$D$2)/(N$11-L$11))))/1000000,"-"))</f>
        <v>4.5137047735470073E-2</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899999999999999" customHeight="1" outlineLevel="1" x14ac:dyDescent="0.25">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f>(IF(M$7="SIM",(L33*(1-(($D$2-L$11)/(N$11-L$11)))+N33*(1-((N$11-$D$2)/(N$11-L$11))))/1000000,"-"))</f>
        <v>6.2247031547184847E-2</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899999999999999" customHeight="1" outlineLevel="1" x14ac:dyDescent="0.25">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f>(IF(M$7="SIM",(L34*(1-(($D$2-L$11)/(N$11-L$11)))+N34*(1-((N$11-$D$2)/(N$11-L$11))))/1000000,"-"))</f>
        <v>2.1861471754807695E-3</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899999999999999" customHeight="1" outlineLevel="1" x14ac:dyDescent="0.25">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f>(IF(M$7="SIM",(L35*(1-(($D$2-L$11)/(N$11-L$11)))+N35*(1-((N$11-$D$2)/(N$11-L$11))))/1000000,"-"))</f>
        <v>7.4156321241955162E-2</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899999999999999" customHeight="1" x14ac:dyDescent="0.25">
      <c r="A36" s="1381"/>
      <c r="B36" s="1210" t="s">
        <v>853</v>
      </c>
      <c r="C36" s="1386"/>
      <c r="D36" s="1402"/>
      <c r="E36" s="412" t="str">
        <f>(IF(E$7="SIM",E37+E38+E39+E40,"-"))</f>
        <v>-</v>
      </c>
      <c r="F36" s="1403"/>
      <c r="G36" s="1387"/>
      <c r="H36" s="1402"/>
      <c r="I36" s="412" t="str">
        <f>(IF(I$7="SIM",I37+I38+I39+I40,"-"))</f>
        <v>-</v>
      </c>
      <c r="J36" s="1403"/>
      <c r="K36" s="1387"/>
      <c r="L36" s="1402"/>
      <c r="M36" s="412">
        <f>(IF(M$7="SIM",M37+M38+M39+M40,"-"))</f>
        <v>1.7758942783569776</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f>(IF(M$7="SIM",(L37*(1-(($D$2-L$11)/(N$11-L$11)))+N37*(1-((N$11-$D$2)/(N$11-L$11))))/1000000,"-"))</f>
        <v>1.1342226651628176</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899999999999999" customHeight="1" outlineLevel="1" x14ac:dyDescent="0.25">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f>(IF(M$7="SIM",(L38*(1-(($D$2-L$11)/(N$11-L$11)))+N38*(1-((N$11-$D$2)/(N$11-L$11))))/1000000,"-"))</f>
        <v>4.5813899391163197E-2</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f>(IF(M$7="SIM",(L39*(1-(($D$2-L$11)/(N$11-L$11)))+N39*(1-((N$11-$D$2)/(N$11-L$11))))/1000000,"-"))</f>
        <v>5.8650810396634626E-2</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f>(IF(M$7="SIM",(L40*(1-(($D$2-L$11)/(N$11-L$11)))+N40*(1-((N$11-$D$2)/(N$11-L$11))))/1000000,"-"))</f>
        <v>0.53720690340636224</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899999999999999" customHeight="1" x14ac:dyDescent="0.25">
      <c r="A41" s="766"/>
      <c r="B41" s="1210" t="s">
        <v>854</v>
      </c>
      <c r="C41" s="1384"/>
      <c r="D41" s="1402"/>
      <c r="E41" s="412" t="str">
        <f>(IF(E$7="SIM",E42+E43+E44,"-"))</f>
        <v>-</v>
      </c>
      <c r="F41" s="1403"/>
      <c r="G41" s="1390"/>
      <c r="H41" s="1402"/>
      <c r="I41" s="412" t="str">
        <f>(IF(I$7="SIM",I42+I43+I44,"-"))</f>
        <v>-</v>
      </c>
      <c r="J41" s="1403"/>
      <c r="K41" s="1390"/>
      <c r="L41" s="1402"/>
      <c r="M41" s="412">
        <f>(IF(M$7="SIM",M42+M43+M44,"-"))</f>
        <v>2.9472899081340134</v>
      </c>
      <c r="N41" s="1403"/>
      <c r="O41" s="1390"/>
      <c r="P41" s="1402"/>
      <c r="Q41" s="412" t="str">
        <f>(IF(Q$7="SIM",Q42+Q43+Q44,"-"))</f>
        <v>-</v>
      </c>
      <c r="R41" s="1403"/>
      <c r="S41" s="1390"/>
      <c r="T41" s="1402"/>
      <c r="U41" s="412" t="str">
        <f>(IF(U$7="SIM",U42+U43+U44,"-"))</f>
        <v>-</v>
      </c>
      <c r="V41" s="1415"/>
      <c r="W41" s="1393"/>
      <c r="X41" s="25"/>
    </row>
    <row r="42" spans="1:61" ht="16.899999999999999" customHeight="1" outlineLevel="1" x14ac:dyDescent="0.25">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f>(IF(M$7="SIM",(L42*(1-(($D$2-L$11)/(N$11-L$11)))+N42*(1-((N$11-$D$2)/(N$11-L$11))))/1000000,"-"))</f>
        <v>2.5841891377013213</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899999999999999" customHeight="1" outlineLevel="1" x14ac:dyDescent="0.25">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f>(IF(M$7="SIM",(L43*(1-(($D$2-L$11)/(N$11-L$11)))+N43*(1-((N$11-$D$2)/(N$11-L$11))))/1000000,"-"))</f>
        <v>0.15192439254807696</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899999999999999" customHeight="1" outlineLevel="1" x14ac:dyDescent="0.25">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f>(IF(M$7="SIM",(L44*(1-(($D$2-L$11)/(N$11-L$11)))+N44*(1-((N$11-$D$2)/(N$11-L$11))))/1000000,"-"))</f>
        <v>0.21117637788461538</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899999999999999" customHeight="1" x14ac:dyDescent="0.3">
      <c r="A45" s="1382"/>
      <c r="B45" s="1399" t="s">
        <v>435</v>
      </c>
      <c r="C45" s="1382"/>
      <c r="D45" s="1404"/>
      <c r="E45" s="1375" t="str">
        <f>(IF(E$7="SIM",E46*1000000/$H$2,"-"))</f>
        <v>-</v>
      </c>
      <c r="F45" s="1405"/>
      <c r="G45" s="1391"/>
      <c r="H45" s="1413"/>
      <c r="I45" s="1375" t="str">
        <f>(IF(I$7="SIM",I46*1000000/$H$2,"-"))</f>
        <v>-</v>
      </c>
      <c r="J45" s="1405"/>
      <c r="K45" s="1391"/>
      <c r="L45" s="1413"/>
      <c r="M45" s="1375">
        <f>(IF(M$7="SIM",M46*1000000/$H$2,"-"))</f>
        <v>96.270080005154213</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899999999999999" customHeight="1" x14ac:dyDescent="0.3">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f>(IF(M$7="SIM",(M26+M29+M31+M36+M41)*(1+L46),"-"))</f>
        <v>7.4985537790839292</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899999999999999" customHeight="1" x14ac:dyDescent="0.25">
      <c r="A47" s="1383"/>
      <c r="B47" s="1213" t="s">
        <v>437</v>
      </c>
      <c r="C47" s="728"/>
      <c r="D47" s="1408"/>
      <c r="E47" s="1378" t="str">
        <f>(IF(E$7="SIM",((E27+E34+E35+E30+E39+E40+E44)*(1+D46)),"-"))</f>
        <v>-</v>
      </c>
      <c r="F47" s="1409"/>
      <c r="G47" s="728"/>
      <c r="H47" s="1408"/>
      <c r="I47" s="1378" t="str">
        <f>(IF(I$7="SIM",((I27+I34+I35+I30+I39+I40+I44)*(1+H46)),"-"))</f>
        <v>-</v>
      </c>
      <c r="J47" s="1409"/>
      <c r="K47" s="728"/>
      <c r="L47" s="1408"/>
      <c r="M47" s="1378">
        <f>(IF(M$7="SIM",((M27+M34+M35+M30+M39+M40+M44)*(1+L46)),"-"))</f>
        <v>2.1593616708749361</v>
      </c>
      <c r="N47" s="1409"/>
      <c r="O47" s="728"/>
      <c r="P47" s="1408"/>
      <c r="Q47" s="1378" t="str">
        <f>(IF(Q$7="SIM",((Q27+Q34+Q35+Q30+Q39+Q40+Q44)*(1+P46)),"-"))</f>
        <v>-</v>
      </c>
      <c r="R47" s="1409"/>
      <c r="S47" s="728"/>
      <c r="T47" s="1408"/>
      <c r="U47" s="1378" t="str">
        <f>(IF(U$7="SIM",((U27+U34+U35+U30+U39+U40+U44)*(1+T46)),"-"))</f>
        <v>-</v>
      </c>
      <c r="V47" s="1417"/>
      <c r="W47" s="1397"/>
    </row>
    <row r="48" spans="1:61" s="862" customFormat="1" ht="16.899999999999999" customHeight="1" thickBot="1" x14ac:dyDescent="0.3">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f>(IF(M$7="SIM",((M37+M28+M38+M32+M33+M42+M43)*1000000/$H$2)*(1+L46),"-"))</f>
        <v>68.547144764621763</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25">
      <c r="B49" s="1"/>
    </row>
    <row r="50" spans="2:21" ht="14.25" customHeight="1" x14ac:dyDescent="0.25">
      <c r="B50" s="1"/>
      <c r="U50" s="61"/>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cristiansimioni</cp:lastModifiedBy>
  <cp:lastPrinted>2019-11-28T14:59:28Z</cp:lastPrinted>
  <dcterms:created xsi:type="dcterms:W3CDTF">2019-08-09T12:30:35Z</dcterms:created>
  <dcterms:modified xsi:type="dcterms:W3CDTF">2022-07-15T15:20:12Z</dcterms:modified>
</cp:coreProperties>
</file>