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"/>
    </mc:Choice>
  </mc:AlternateContent>
  <xr:revisionPtr revIDLastSave="0" documentId="13_ncr:1_{778BC4CF-BCE0-428C-83FE-C6AE84C8D258}" xr6:coauthVersionLast="47" xr6:coauthVersionMax="47" xr10:uidLastSave="{00000000-0000-0000-0000-000000000000}"/>
  <bookViews>
    <workbookView xWindow="28680" yWindow="-120" windowWidth="29040" windowHeight="1584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  <sheet name="Relatório" sheetId="20" r:id="rId12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_xlnm.Print_Area" localSheetId="11">Relatório!$A$1:$K$141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M158" i="10" l="1"/>
  <c r="BL158" i="10"/>
  <c r="BK158" i="10"/>
  <c r="BJ158" i="10"/>
  <c r="BI158" i="10"/>
  <c r="BH158" i="10"/>
  <c r="BG158" i="10"/>
  <c r="BF158" i="10"/>
  <c r="BE158" i="10"/>
  <c r="BD158" i="10"/>
  <c r="BC158" i="10"/>
  <c r="BB158" i="10"/>
  <c r="BA158" i="10"/>
  <c r="AZ158" i="10"/>
  <c r="AY158" i="10"/>
  <c r="AX158" i="10"/>
  <c r="AW158" i="10"/>
  <c r="AV158" i="10"/>
  <c r="AU158" i="10"/>
  <c r="AT158" i="10"/>
  <c r="AS158" i="10"/>
  <c r="AR158" i="10"/>
  <c r="AQ158" i="10"/>
  <c r="AP158" i="10"/>
  <c r="AO158" i="10"/>
  <c r="AN158" i="10"/>
  <c r="AM158" i="10"/>
  <c r="AL158" i="10"/>
  <c r="AK158" i="10"/>
  <c r="AJ158" i="10"/>
  <c r="AI158" i="10"/>
  <c r="AH158" i="10"/>
  <c r="AG158" i="10"/>
  <c r="AF158" i="10"/>
  <c r="AE158" i="10"/>
  <c r="AD158" i="10"/>
  <c r="AC158" i="10"/>
  <c r="AB158" i="10"/>
  <c r="AA158" i="10"/>
  <c r="Z158" i="10"/>
  <c r="Y158" i="10"/>
  <c r="X158" i="10"/>
  <c r="W158" i="10"/>
  <c r="V158" i="10"/>
  <c r="U158" i="10"/>
  <c r="T158" i="10"/>
  <c r="S158" i="10"/>
  <c r="R158" i="10"/>
  <c r="Q158" i="10"/>
  <c r="P158" i="10"/>
  <c r="O158" i="10"/>
  <c r="N158" i="10"/>
  <c r="M158" i="10"/>
  <c r="L158" i="10"/>
  <c r="K158" i="10"/>
  <c r="J158" i="10"/>
  <c r="I158" i="10"/>
  <c r="H158" i="10"/>
  <c r="G158" i="10"/>
  <c r="F158" i="10"/>
  <c r="BM141" i="10" l="1"/>
  <c r="BL141" i="10"/>
  <c r="BK141" i="10"/>
  <c r="BJ141" i="10"/>
  <c r="BI141" i="10"/>
  <c r="BH141" i="10"/>
  <c r="BG141" i="10"/>
  <c r="BF141" i="10"/>
  <c r="BE141" i="10"/>
  <c r="BD141" i="10"/>
  <c r="BC141" i="10"/>
  <c r="BB141" i="10"/>
  <c r="BA141" i="10"/>
  <c r="AZ141" i="10"/>
  <c r="AY141" i="10"/>
  <c r="AX141" i="10"/>
  <c r="AW141" i="10"/>
  <c r="AV141" i="10"/>
  <c r="AU141" i="10"/>
  <c r="AT141" i="10"/>
  <c r="AS141" i="10"/>
  <c r="AR141" i="10"/>
  <c r="AQ141" i="10"/>
  <c r="AP141" i="10"/>
  <c r="AO141" i="10"/>
  <c r="AN141" i="10"/>
  <c r="AM141" i="10"/>
  <c r="AL141" i="10"/>
  <c r="AK141" i="10"/>
  <c r="AJ141" i="10"/>
  <c r="AI141" i="10"/>
  <c r="AH141" i="10"/>
  <c r="AG141" i="10"/>
  <c r="AF141" i="10"/>
  <c r="AE141" i="10"/>
  <c r="AD141" i="10"/>
  <c r="AC141" i="10"/>
  <c r="AB141" i="10"/>
  <c r="AA141" i="10"/>
  <c r="Z141" i="10"/>
  <c r="Y141" i="10"/>
  <c r="X141" i="10"/>
  <c r="W141" i="10"/>
  <c r="V141" i="10"/>
  <c r="U141" i="10"/>
  <c r="T141" i="10"/>
  <c r="S141" i="10"/>
  <c r="R141" i="10"/>
  <c r="Q141" i="10"/>
  <c r="P141" i="10"/>
  <c r="O141" i="10"/>
  <c r="N141" i="10"/>
  <c r="M141" i="10"/>
  <c r="L141" i="10"/>
  <c r="K141" i="10"/>
  <c r="J141" i="10"/>
  <c r="I141" i="10"/>
  <c r="H141" i="10"/>
  <c r="G141" i="10"/>
  <c r="F141" i="10"/>
  <c r="BM124" i="10" l="1"/>
  <c r="BL124" i="10"/>
  <c r="BK124" i="10"/>
  <c r="BJ124" i="10"/>
  <c r="BI124" i="10"/>
  <c r="BH124" i="10"/>
  <c r="BG124" i="10"/>
  <c r="BF124" i="10"/>
  <c r="BE124" i="10"/>
  <c r="BD124" i="10"/>
  <c r="BC124" i="10"/>
  <c r="BB124" i="10"/>
  <c r="BA124" i="10"/>
  <c r="AZ124" i="10"/>
  <c r="AY124" i="10"/>
  <c r="AX124" i="10"/>
  <c r="AW124" i="10"/>
  <c r="AV124" i="10"/>
  <c r="AU124" i="10"/>
  <c r="AT124" i="10"/>
  <c r="AS124" i="10"/>
  <c r="AR124" i="10"/>
  <c r="AQ124" i="10"/>
  <c r="AP124" i="10"/>
  <c r="AO124" i="10"/>
  <c r="AN124" i="10"/>
  <c r="AM124" i="10"/>
  <c r="AL124" i="10"/>
  <c r="AK124" i="10"/>
  <c r="AJ124" i="10"/>
  <c r="AI124" i="10"/>
  <c r="AH124" i="10"/>
  <c r="AG124" i="10"/>
  <c r="AF124" i="10"/>
  <c r="AE124" i="10"/>
  <c r="AD124" i="10"/>
  <c r="AC124" i="10"/>
  <c r="AB124" i="10"/>
  <c r="AA124" i="10"/>
  <c r="Z124" i="10"/>
  <c r="Y124" i="10"/>
  <c r="X124" i="10"/>
  <c r="W124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J124" i="10"/>
  <c r="I124" i="10"/>
  <c r="H124" i="10"/>
  <c r="G124" i="10"/>
  <c r="F124" i="10"/>
  <c r="BM107" i="10" l="1"/>
  <c r="BL107" i="10"/>
  <c r="BK107" i="10"/>
  <c r="BJ107" i="10"/>
  <c r="BI107" i="10"/>
  <c r="BH107" i="10"/>
  <c r="BG107" i="10"/>
  <c r="BF107" i="10"/>
  <c r="BE107" i="10"/>
  <c r="BD107" i="10"/>
  <c r="BC107" i="10"/>
  <c r="BB107" i="10"/>
  <c r="BA107" i="10"/>
  <c r="AZ107" i="10"/>
  <c r="AY107" i="10"/>
  <c r="AX107" i="10"/>
  <c r="AW107" i="10"/>
  <c r="AV107" i="10"/>
  <c r="AU107" i="10"/>
  <c r="AT107" i="10"/>
  <c r="AS107" i="10"/>
  <c r="AR107" i="10"/>
  <c r="AQ107" i="10"/>
  <c r="AP107" i="10"/>
  <c r="AO107" i="10"/>
  <c r="AN107" i="10"/>
  <c r="AM107" i="10"/>
  <c r="AL107" i="10"/>
  <c r="AK107" i="10"/>
  <c r="AJ107" i="10"/>
  <c r="AI107" i="10"/>
  <c r="AH107" i="10"/>
  <c r="AG107" i="10"/>
  <c r="AF107" i="10"/>
  <c r="AE107" i="10"/>
  <c r="AD107" i="10"/>
  <c r="AC107" i="10"/>
  <c r="AB107" i="10"/>
  <c r="AA107" i="10"/>
  <c r="Z107" i="10"/>
  <c r="Y107" i="10"/>
  <c r="X107" i="10"/>
  <c r="W107" i="10"/>
  <c r="V107" i="10"/>
  <c r="U107" i="10"/>
  <c r="T107" i="10"/>
  <c r="S107" i="10"/>
  <c r="R107" i="10"/>
  <c r="Q107" i="10"/>
  <c r="P107" i="10"/>
  <c r="O107" i="10"/>
  <c r="N107" i="10"/>
  <c r="M107" i="10"/>
  <c r="L107" i="10"/>
  <c r="K107" i="10"/>
  <c r="J107" i="10"/>
  <c r="I107" i="10"/>
  <c r="H107" i="10"/>
  <c r="G107" i="10"/>
  <c r="F107" i="10"/>
  <c r="BM90" i="10" l="1"/>
  <c r="BL90" i="10"/>
  <c r="BK90" i="10"/>
  <c r="BJ90" i="10"/>
  <c r="BI90" i="10"/>
  <c r="BH90" i="10"/>
  <c r="BG90" i="10"/>
  <c r="BF90" i="10"/>
  <c r="BE90" i="10"/>
  <c r="BD90" i="10"/>
  <c r="BC90" i="10"/>
  <c r="BB90" i="10"/>
  <c r="BA90" i="10"/>
  <c r="AZ90" i="10"/>
  <c r="AY90" i="10"/>
  <c r="AX90" i="10"/>
  <c r="AW90" i="10"/>
  <c r="AV90" i="10"/>
  <c r="AU90" i="10"/>
  <c r="AT90" i="10"/>
  <c r="AS90" i="10"/>
  <c r="AR90" i="10"/>
  <c r="AQ90" i="10"/>
  <c r="AP90" i="10"/>
  <c r="AO90" i="10"/>
  <c r="AN90" i="10"/>
  <c r="AM90" i="10"/>
  <c r="AL90" i="10"/>
  <c r="AK90" i="10"/>
  <c r="AJ90" i="10"/>
  <c r="AI90" i="10"/>
  <c r="AH90" i="10"/>
  <c r="AG90" i="10"/>
  <c r="AF90" i="10"/>
  <c r="AE90" i="10"/>
  <c r="AD90" i="10"/>
  <c r="AC90" i="10"/>
  <c r="AB90" i="10"/>
  <c r="AA90" i="10"/>
  <c r="Z90" i="10"/>
  <c r="Y90" i="10"/>
  <c r="X90" i="10"/>
  <c r="W90" i="10"/>
  <c r="V90" i="10"/>
  <c r="U90" i="10"/>
  <c r="T90" i="10"/>
  <c r="S90" i="10"/>
  <c r="R90" i="10"/>
  <c r="Q90" i="10"/>
  <c r="P90" i="10"/>
  <c r="O90" i="10"/>
  <c r="N90" i="10"/>
  <c r="M90" i="10"/>
  <c r="L90" i="10"/>
  <c r="K90" i="10"/>
  <c r="J90" i="10"/>
  <c r="I90" i="10"/>
  <c r="H90" i="10"/>
  <c r="G90" i="10"/>
  <c r="F90" i="10"/>
  <c r="BM73" i="10" l="1"/>
  <c r="BL73" i="10"/>
  <c r="BK73" i="10"/>
  <c r="BJ73" i="10"/>
  <c r="BI73" i="10"/>
  <c r="BH73" i="10"/>
  <c r="BG73" i="10"/>
  <c r="BF73" i="10"/>
  <c r="BE73" i="10"/>
  <c r="BD73" i="10"/>
  <c r="BC73" i="10"/>
  <c r="BB73" i="10"/>
  <c r="BA73" i="10"/>
  <c r="AZ73" i="10"/>
  <c r="AY73" i="10"/>
  <c r="AX73" i="10"/>
  <c r="AW73" i="10"/>
  <c r="AV73" i="10"/>
  <c r="AU73" i="10"/>
  <c r="AT73" i="10"/>
  <c r="AS73" i="10"/>
  <c r="AR73" i="10"/>
  <c r="AQ73" i="10"/>
  <c r="AP73" i="10"/>
  <c r="AO73" i="10"/>
  <c r="AN73" i="10"/>
  <c r="AM73" i="10"/>
  <c r="AL73" i="10"/>
  <c r="AK73" i="10"/>
  <c r="AJ73" i="10"/>
  <c r="AI73" i="10"/>
  <c r="AH73" i="10"/>
  <c r="AG73" i="10"/>
  <c r="AF73" i="10"/>
  <c r="AE73" i="10"/>
  <c r="AD73" i="10"/>
  <c r="AC73" i="10"/>
  <c r="AB73" i="10"/>
  <c r="AA73" i="10"/>
  <c r="Z73" i="10"/>
  <c r="Y73" i="10"/>
  <c r="X73" i="10"/>
  <c r="W73" i="10"/>
  <c r="V73" i="10"/>
  <c r="U73" i="10"/>
  <c r="T73" i="10"/>
  <c r="S73" i="10"/>
  <c r="R73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BM56" i="10" l="1"/>
  <c r="BL56" i="10"/>
  <c r="BK56" i="10"/>
  <c r="BJ56" i="10"/>
  <c r="BI56" i="10"/>
  <c r="BH56" i="10"/>
  <c r="BG56" i="10"/>
  <c r="BF56" i="10"/>
  <c r="BE56" i="10"/>
  <c r="BD56" i="10"/>
  <c r="BC56" i="10"/>
  <c r="BB56" i="10"/>
  <c r="BA56" i="10"/>
  <c r="AZ56" i="10"/>
  <c r="AY56" i="10"/>
  <c r="AX56" i="10"/>
  <c r="AW56" i="10"/>
  <c r="AV56" i="10"/>
  <c r="AU56" i="10"/>
  <c r="AT56" i="10"/>
  <c r="AS56" i="10"/>
  <c r="AR56" i="10"/>
  <c r="AQ56" i="10"/>
  <c r="AP56" i="10"/>
  <c r="AO56" i="10"/>
  <c r="AN56" i="10"/>
  <c r="AM56" i="10"/>
  <c r="AL56" i="10"/>
  <c r="AK56" i="10"/>
  <c r="AJ56" i="10"/>
  <c r="AI56" i="10"/>
  <c r="AH56" i="10"/>
  <c r="AG56" i="10"/>
  <c r="AF56" i="10"/>
  <c r="AE56" i="10"/>
  <c r="AD56" i="10"/>
  <c r="AC56" i="10"/>
  <c r="AB56" i="10"/>
  <c r="AA56" i="10"/>
  <c r="Z56" i="10"/>
  <c r="Y56" i="10"/>
  <c r="X56" i="10"/>
  <c r="W56" i="10"/>
  <c r="V56" i="10"/>
  <c r="U56" i="10"/>
  <c r="T56" i="10"/>
  <c r="S56" i="10"/>
  <c r="R56" i="10"/>
  <c r="Q56" i="10"/>
  <c r="P56" i="10"/>
  <c r="O56" i="10"/>
  <c r="N56" i="10"/>
  <c r="M56" i="10"/>
  <c r="L56" i="10"/>
  <c r="K56" i="10"/>
  <c r="J56" i="10"/>
  <c r="I56" i="10"/>
  <c r="H56" i="10"/>
  <c r="G56" i="10"/>
  <c r="F56" i="10"/>
  <c r="BM47" i="10" l="1"/>
  <c r="BL47" i="10"/>
  <c r="BK47" i="10"/>
  <c r="BJ47" i="10"/>
  <c r="BI47" i="10"/>
  <c r="BH47" i="10"/>
  <c r="BG47" i="10"/>
  <c r="BF47" i="10"/>
  <c r="BE47" i="10"/>
  <c r="BD47" i="10"/>
  <c r="BC47" i="10"/>
  <c r="BB47" i="10"/>
  <c r="BA47" i="10"/>
  <c r="AZ47" i="10"/>
  <c r="AY47" i="10"/>
  <c r="AX47" i="10"/>
  <c r="AW47" i="10"/>
  <c r="AV47" i="10"/>
  <c r="AU47" i="10"/>
  <c r="AT47" i="10"/>
  <c r="AS47" i="10"/>
  <c r="AR47" i="10"/>
  <c r="AQ47" i="10"/>
  <c r="AP47" i="10"/>
  <c r="AO47" i="10"/>
  <c r="AN47" i="10"/>
  <c r="AM47" i="10"/>
  <c r="AL47" i="10"/>
  <c r="AK47" i="10"/>
  <c r="AJ47" i="10"/>
  <c r="AI47" i="10"/>
  <c r="AH47" i="10"/>
  <c r="AG47" i="10"/>
  <c r="AF47" i="10"/>
  <c r="AE47" i="10"/>
  <c r="AD47" i="10"/>
  <c r="AC47" i="10"/>
  <c r="AB47" i="10"/>
  <c r="AA47" i="10"/>
  <c r="Z47" i="10"/>
  <c r="Y47" i="10"/>
  <c r="X47" i="10"/>
  <c r="W47" i="10"/>
  <c r="V47" i="10"/>
  <c r="U47" i="10"/>
  <c r="T47" i="10"/>
  <c r="S47" i="10"/>
  <c r="R47" i="10"/>
  <c r="Q47" i="10"/>
  <c r="P47" i="10"/>
  <c r="O47" i="10"/>
  <c r="N47" i="10"/>
  <c r="M47" i="10"/>
  <c r="L47" i="10"/>
  <c r="K47" i="10"/>
  <c r="J47" i="10"/>
  <c r="I47" i="10"/>
  <c r="H47" i="10"/>
  <c r="G47" i="10"/>
  <c r="F47" i="10"/>
  <c r="BM38" i="10" l="1"/>
  <c r="BL38" i="10"/>
  <c r="BK38" i="10"/>
  <c r="BJ38" i="10"/>
  <c r="BI38" i="10"/>
  <c r="BH38" i="10"/>
  <c r="BG38" i="10"/>
  <c r="BF38" i="10"/>
  <c r="BE38" i="10"/>
  <c r="BD38" i="10"/>
  <c r="BC38" i="10"/>
  <c r="BB38" i="10"/>
  <c r="BA38" i="10"/>
  <c r="AZ38" i="10"/>
  <c r="AY38" i="10"/>
  <c r="AX38" i="10"/>
  <c r="AW38" i="10"/>
  <c r="AV38" i="10"/>
  <c r="AU38" i="10"/>
  <c r="AT38" i="10"/>
  <c r="AS38" i="10"/>
  <c r="AR38" i="10"/>
  <c r="AQ38" i="10"/>
  <c r="AP38" i="10"/>
  <c r="AO38" i="10"/>
  <c r="AN38" i="10"/>
  <c r="AM38" i="10"/>
  <c r="AL38" i="10"/>
  <c r="AK38" i="10"/>
  <c r="AJ38" i="10"/>
  <c r="AI38" i="10"/>
  <c r="AH38" i="10"/>
  <c r="AG38" i="10"/>
  <c r="AF38" i="10"/>
  <c r="AE38" i="10"/>
  <c r="AD38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N38" i="10"/>
  <c r="M38" i="10"/>
  <c r="L38" i="10"/>
  <c r="K38" i="10"/>
  <c r="J38" i="10"/>
  <c r="I38" i="10"/>
  <c r="H38" i="10"/>
  <c r="G38" i="10"/>
  <c r="F38" i="10"/>
  <c r="BM29" i="10" l="1"/>
  <c r="BL29" i="10"/>
  <c r="BK29" i="10"/>
  <c r="BJ29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W29" i="10"/>
  <c r="V29" i="10"/>
  <c r="U29" i="10"/>
  <c r="T29" i="10"/>
  <c r="S29" i="10"/>
  <c r="R29" i="10"/>
  <c r="Q29" i="10"/>
  <c r="P29" i="10"/>
  <c r="O29" i="10"/>
  <c r="N29" i="10"/>
  <c r="M29" i="10"/>
  <c r="L29" i="10"/>
  <c r="K29" i="10"/>
  <c r="J29" i="10"/>
  <c r="I29" i="10"/>
  <c r="H29" i="10"/>
  <c r="G29" i="10"/>
  <c r="F29" i="10"/>
  <c r="BM20" i="10" l="1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BM11" i="10" l="1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E53" i="16" l="1"/>
  <c r="N223" i="3" l="1"/>
  <c r="N224" i="3"/>
  <c r="N225" i="3"/>
  <c r="N226" i="3"/>
  <c r="N227" i="3"/>
  <c r="N228" i="3"/>
  <c r="N229" i="3"/>
  <c r="D53" i="16"/>
  <c r="B53" i="16" l="1"/>
  <c r="A57" i="16" l="1"/>
  <c r="A60" i="16"/>
  <c r="A59" i="16"/>
  <c r="A58" i="16"/>
  <c r="B58" i="16" s="1"/>
  <c r="I104" i="3"/>
  <c r="I105" i="3"/>
  <c r="I106" i="3"/>
  <c r="I107" i="3"/>
  <c r="I108" i="3"/>
  <c r="I109" i="3"/>
  <c r="I110" i="3"/>
  <c r="I103" i="3"/>
  <c r="I121" i="3"/>
  <c r="I122" i="3"/>
  <c r="I123" i="3"/>
  <c r="I124" i="3"/>
  <c r="I125" i="3"/>
  <c r="I126" i="3"/>
  <c r="I127" i="3"/>
  <c r="I120" i="3"/>
  <c r="F59" i="16" l="1"/>
  <c r="O59" i="16"/>
  <c r="P59" i="16"/>
  <c r="F58" i="16"/>
  <c r="O58" i="16"/>
  <c r="P58" i="16"/>
  <c r="F60" i="16"/>
  <c r="P60" i="16"/>
  <c r="O60" i="16"/>
  <c r="F57" i="16"/>
  <c r="O57" i="16"/>
  <c r="P57" i="16"/>
  <c r="E57" i="16"/>
  <c r="D58" i="16"/>
  <c r="E58" i="16"/>
  <c r="D59" i="16"/>
  <c r="E59" i="16"/>
  <c r="D60" i="16"/>
  <c r="E60" i="16"/>
  <c r="G59" i="16"/>
  <c r="J59" i="16"/>
  <c r="H59" i="16"/>
  <c r="L59" i="16"/>
  <c r="I59" i="16"/>
  <c r="M59" i="16"/>
  <c r="K59" i="16"/>
  <c r="N59" i="16"/>
  <c r="G58" i="16"/>
  <c r="K58" i="16"/>
  <c r="N58" i="16"/>
  <c r="H58" i="16"/>
  <c r="I58" i="16"/>
  <c r="M58" i="16"/>
  <c r="J58" i="16"/>
  <c r="L58" i="16"/>
  <c r="I60" i="16"/>
  <c r="G60" i="16"/>
  <c r="K60" i="16"/>
  <c r="N60" i="16"/>
  <c r="H60" i="16"/>
  <c r="L60" i="16"/>
  <c r="M60" i="16"/>
  <c r="J60" i="16"/>
  <c r="K57" i="16"/>
  <c r="N57" i="16"/>
  <c r="D57" i="16"/>
  <c r="H57" i="16"/>
  <c r="L57" i="16"/>
  <c r="G57" i="16"/>
  <c r="I57" i="16"/>
  <c r="M57" i="16"/>
  <c r="J57" i="16"/>
  <c r="B59" i="16"/>
  <c r="B57" i="16"/>
  <c r="B10" i="20"/>
  <c r="B6" i="20"/>
  <c r="A6" i="19"/>
  <c r="B6" i="19" s="1"/>
  <c r="N6" i="19" s="1"/>
  <c r="A4" i="19"/>
  <c r="B4" i="19" s="1"/>
  <c r="N4" i="19" s="1"/>
  <c r="A10" i="19"/>
  <c r="B10" i="19" s="1"/>
  <c r="N10" i="19" s="1"/>
  <c r="A8" i="19"/>
  <c r="B8" i="19" s="1"/>
  <c r="N8" i="19" s="1"/>
  <c r="B3" i="19"/>
  <c r="T3" i="19" s="1"/>
  <c r="B5" i="19"/>
  <c r="B7" i="19"/>
  <c r="T7" i="19" s="1"/>
  <c r="U8" i="19" s="1"/>
  <c r="B9" i="19"/>
  <c r="K9" i="19" l="1"/>
  <c r="V9" i="19"/>
  <c r="U9" i="19"/>
  <c r="J5" i="19"/>
  <c r="V5" i="19"/>
  <c r="U5" i="19"/>
  <c r="T5" i="19"/>
  <c r="U6" i="19" s="1"/>
  <c r="I7" i="19"/>
  <c r="V7" i="19"/>
  <c r="U7" i="19"/>
  <c r="V8" i="19" s="1"/>
  <c r="O3" i="19"/>
  <c r="P4" i="19" s="1"/>
  <c r="U3" i="19"/>
  <c r="V3" i="19"/>
  <c r="T9" i="19"/>
  <c r="U4" i="19"/>
  <c r="D3" i="19"/>
  <c r="S3" i="19"/>
  <c r="S7" i="19"/>
  <c r="D7" i="19"/>
  <c r="S10" i="19"/>
  <c r="S6" i="19"/>
  <c r="N3" i="19"/>
  <c r="S9" i="19"/>
  <c r="S5" i="19"/>
  <c r="N7" i="19"/>
  <c r="S8" i="19"/>
  <c r="S4" i="19"/>
  <c r="D10" i="19"/>
  <c r="D6" i="19"/>
  <c r="D9" i="19"/>
  <c r="D5" i="19"/>
  <c r="N9" i="19"/>
  <c r="N5" i="19"/>
  <c r="D8" i="19"/>
  <c r="D4" i="19"/>
  <c r="O7" i="19"/>
  <c r="P8" i="19" s="1"/>
  <c r="Q7" i="19"/>
  <c r="P9" i="19"/>
  <c r="O5" i="19"/>
  <c r="P7" i="19"/>
  <c r="Q9" i="19"/>
  <c r="Q5" i="19"/>
  <c r="O9" i="19"/>
  <c r="P5" i="19"/>
  <c r="J3" i="19"/>
  <c r="P3" i="19"/>
  <c r="Q3" i="19"/>
  <c r="I3" i="19"/>
  <c r="F3" i="19"/>
  <c r="K3" i="19"/>
  <c r="E7" i="19"/>
  <c r="F8" i="19" s="1"/>
  <c r="J7" i="19"/>
  <c r="H9" i="19"/>
  <c r="H3" i="19"/>
  <c r="F7" i="19"/>
  <c r="K7" i="19"/>
  <c r="I9" i="19"/>
  <c r="H7" i="19"/>
  <c r="E9" i="19"/>
  <c r="F10" i="19" s="1"/>
  <c r="J9" i="19"/>
  <c r="E3" i="19"/>
  <c r="F4" i="19" s="1"/>
  <c r="F9" i="19"/>
  <c r="F5" i="19"/>
  <c r="K5" i="19"/>
  <c r="H5" i="19"/>
  <c r="I5" i="19"/>
  <c r="E5" i="19"/>
  <c r="W9" i="19" l="1"/>
  <c r="V4" i="19"/>
  <c r="W5" i="19"/>
  <c r="W3" i="19"/>
  <c r="V6" i="19"/>
  <c r="W7" i="19"/>
  <c r="U10" i="19"/>
  <c r="V10" i="19" s="1"/>
  <c r="Q8" i="19"/>
  <c r="R3" i="19"/>
  <c r="R7" i="19"/>
  <c r="R9" i="19"/>
  <c r="R5" i="19"/>
  <c r="G3" i="19"/>
  <c r="H4" i="19" s="1"/>
  <c r="I4" i="19" s="1"/>
  <c r="J4" i="19" s="1"/>
  <c r="K4" i="19" s="1"/>
  <c r="P6" i="19"/>
  <c r="Q6" i="19" s="1"/>
  <c r="P10" i="19"/>
  <c r="Q10" i="19" s="1"/>
  <c r="Q4" i="19"/>
  <c r="G9" i="19"/>
  <c r="G7" i="19"/>
  <c r="G5" i="19"/>
  <c r="F6" i="19"/>
  <c r="L5" i="19" l="1"/>
  <c r="Z5" i="19" s="1"/>
  <c r="L9" i="19"/>
  <c r="Z9" i="19" s="1"/>
  <c r="L3" i="19"/>
  <c r="Z3" i="19" s="1"/>
  <c r="H10" i="19"/>
  <c r="I10" i="19" s="1"/>
  <c r="J10" i="19" s="1"/>
  <c r="K10" i="19" s="1"/>
  <c r="H8" i="19"/>
  <c r="I8" i="19" s="1"/>
  <c r="J8" i="19" s="1"/>
  <c r="K8" i="19" s="1"/>
  <c r="L7" i="19"/>
  <c r="Z7" i="19" s="1"/>
  <c r="H6" i="19"/>
  <c r="I6" i="19" s="1"/>
  <c r="J6" i="19" s="1"/>
  <c r="K6" i="19" s="1"/>
  <c r="M5" i="19" l="1"/>
  <c r="Y5" i="19" s="1"/>
  <c r="M3" i="19"/>
  <c r="M7" i="19"/>
  <c r="Y7" i="19" s="1"/>
  <c r="M9" i="19"/>
  <c r="Y9" i="19" s="1"/>
  <c r="X9" i="19" l="1"/>
  <c r="AA9" i="19" s="1"/>
  <c r="X7" i="19"/>
  <c r="AA7" i="19" s="1"/>
  <c r="Y3" i="19"/>
  <c r="X3" i="19"/>
  <c r="AA3" i="19" s="1"/>
  <c r="X5" i="19"/>
  <c r="AA5" i="19" s="1"/>
  <c r="A50" i="16" l="1"/>
  <c r="B50" i="16" s="1"/>
  <c r="N119" i="3" l="1"/>
  <c r="N120" i="3"/>
  <c r="N121" i="3"/>
  <c r="N122" i="3"/>
  <c r="N123" i="3"/>
  <c r="N124" i="3"/>
  <c r="N125" i="3"/>
  <c r="N126" i="3"/>
  <c r="N127" i="3"/>
  <c r="N128" i="3"/>
  <c r="N129" i="3"/>
  <c r="N103" i="3"/>
  <c r="N104" i="3"/>
  <c r="N105" i="3"/>
  <c r="N106" i="3"/>
  <c r="N107" i="3"/>
  <c r="N108" i="3"/>
  <c r="N109" i="3"/>
  <c r="N110" i="3"/>
  <c r="D50" i="16"/>
  <c r="A44" i="16"/>
  <c r="N44" i="16" s="1"/>
  <c r="A45" i="16"/>
  <c r="A46" i="16"/>
  <c r="A47" i="16"/>
  <c r="D47" i="16" s="1"/>
  <c r="A48" i="16"/>
  <c r="A49" i="16"/>
  <c r="A43" i="16"/>
  <c r="B39" i="16"/>
  <c r="K49" i="16" l="1"/>
  <c r="I49" i="16"/>
  <c r="K48" i="16"/>
  <c r="I48" i="16"/>
  <c r="E43" i="16"/>
  <c r="M43" i="16"/>
  <c r="E46" i="16"/>
  <c r="M46" i="16"/>
  <c r="F49" i="16"/>
  <c r="M49" i="16"/>
  <c r="F45" i="16"/>
  <c r="M45" i="16"/>
  <c r="G48" i="16"/>
  <c r="M48" i="16"/>
  <c r="G44" i="16"/>
  <c r="M44" i="16"/>
  <c r="I44" i="16"/>
  <c r="J46" i="16"/>
  <c r="J48" i="16"/>
  <c r="I43" i="16"/>
  <c r="K46" i="16"/>
  <c r="H43" i="16"/>
  <c r="H46" i="16"/>
  <c r="I47" i="16"/>
  <c r="J45" i="16"/>
  <c r="J47" i="16"/>
  <c r="K45" i="16"/>
  <c r="L43" i="16"/>
  <c r="L46" i="16"/>
  <c r="H47" i="16"/>
  <c r="L47" i="16"/>
  <c r="H49" i="16"/>
  <c r="H45" i="16"/>
  <c r="I46" i="16"/>
  <c r="J44" i="16"/>
  <c r="K43" i="16"/>
  <c r="K44" i="16"/>
  <c r="L49" i="16"/>
  <c r="L45" i="16"/>
  <c r="H48" i="16"/>
  <c r="H44" i="16"/>
  <c r="I45" i="16"/>
  <c r="J43" i="16"/>
  <c r="J49" i="16"/>
  <c r="K47" i="16"/>
  <c r="L48" i="16"/>
  <c r="L44" i="16"/>
  <c r="G50" i="16"/>
  <c r="F50" i="16"/>
  <c r="E50" i="16"/>
  <c r="E49" i="16"/>
  <c r="E45" i="16"/>
  <c r="F48" i="16"/>
  <c r="F44" i="16"/>
  <c r="G47" i="16"/>
  <c r="E48" i="16"/>
  <c r="E44" i="16"/>
  <c r="F47" i="16"/>
  <c r="G43" i="16"/>
  <c r="G46" i="16"/>
  <c r="E47" i="16"/>
  <c r="F43" i="16"/>
  <c r="F46" i="16"/>
  <c r="G49" i="16"/>
  <c r="G45" i="16"/>
  <c r="D43" i="16"/>
  <c r="D48" i="16"/>
  <c r="D46" i="16"/>
  <c r="D44" i="16"/>
  <c r="D49" i="16"/>
  <c r="D45" i="16"/>
  <c r="N33" i="3" l="1"/>
  <c r="N34" i="3"/>
  <c r="I30" i="3"/>
  <c r="B27" i="16" l="1"/>
  <c r="A31" i="16"/>
  <c r="G31" i="16" s="1"/>
  <c r="A32" i="16"/>
  <c r="F32" i="16" s="1"/>
  <c r="A33" i="16"/>
  <c r="E33" i="16" s="1"/>
  <c r="A34" i="16"/>
  <c r="D34" i="16" s="1"/>
  <c r="A35" i="16"/>
  <c r="G35" i="16" s="1"/>
  <c r="A36" i="16"/>
  <c r="F36" i="16" s="1"/>
  <c r="A30" i="16"/>
  <c r="E30" i="16" s="1"/>
  <c r="N221" i="3"/>
  <c r="N222" i="3"/>
  <c r="G34" i="16" l="1"/>
  <c r="E36" i="16"/>
  <c r="F31" i="16"/>
  <c r="E32" i="16"/>
  <c r="F35" i="16"/>
  <c r="D36" i="16"/>
  <c r="D32" i="16"/>
  <c r="E35" i="16"/>
  <c r="E31" i="16"/>
  <c r="F34" i="16"/>
  <c r="G30" i="16"/>
  <c r="G33" i="16"/>
  <c r="D30" i="16"/>
  <c r="D33" i="16"/>
  <c r="D35" i="16"/>
  <c r="D31" i="16"/>
  <c r="E34" i="16"/>
  <c r="F30" i="16"/>
  <c r="F33" i="16"/>
  <c r="G36" i="16"/>
  <c r="G32" i="16"/>
  <c r="L4" i="16" l="1"/>
  <c r="L5" i="16"/>
  <c r="L6" i="16"/>
  <c r="L7" i="16"/>
  <c r="L8" i="16"/>
  <c r="L9" i="16"/>
  <c r="L10" i="16"/>
  <c r="L11" i="16"/>
  <c r="V4" i="16"/>
  <c r="M4" i="16"/>
  <c r="N4" i="16"/>
  <c r="O4" i="16"/>
  <c r="P4" i="16"/>
  <c r="Q4" i="16"/>
  <c r="R4" i="16"/>
  <c r="S4" i="16"/>
  <c r="T4" i="16"/>
  <c r="U4" i="16"/>
  <c r="H1" i="16"/>
  <c r="G1" i="16"/>
  <c r="X4" i="16" l="1"/>
  <c r="N205" i="3" l="1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07" i="3"/>
  <c r="N206" i="3"/>
  <c r="B16" i="16"/>
  <c r="B5" i="16"/>
  <c r="B6" i="16"/>
  <c r="B7" i="16"/>
  <c r="B8" i="16"/>
  <c r="B9" i="16"/>
  <c r="B10" i="16"/>
  <c r="B11" i="16"/>
  <c r="B12" i="16"/>
  <c r="B13" i="16"/>
  <c r="B14" i="16"/>
  <c r="B15" i="16"/>
  <c r="B4" i="16"/>
  <c r="D13" i="16" l="1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F13" i="16"/>
  <c r="AG13" i="16"/>
  <c r="AH13" i="16"/>
  <c r="AI13" i="16"/>
  <c r="AJ13" i="16"/>
  <c r="AK13" i="16"/>
  <c r="AL13" i="16"/>
  <c r="AM13" i="16"/>
  <c r="AN13" i="16"/>
  <c r="AO13" i="16"/>
  <c r="AP13" i="16"/>
  <c r="AQ13" i="16"/>
  <c r="AR13" i="16"/>
  <c r="AS13" i="16"/>
  <c r="AT13" i="16"/>
  <c r="AU13" i="16"/>
  <c r="AV13" i="16"/>
  <c r="AW13" i="16"/>
  <c r="AX13" i="16"/>
  <c r="AY13" i="16"/>
  <c r="AZ13" i="16"/>
  <c r="BA13" i="16"/>
  <c r="BB13" i="16"/>
  <c r="BC13" i="16"/>
  <c r="BD13" i="16"/>
  <c r="BE13" i="16"/>
  <c r="BF13" i="16"/>
  <c r="BG13" i="16"/>
  <c r="BH13" i="16"/>
  <c r="BI13" i="16"/>
  <c r="BJ13" i="16"/>
  <c r="BK13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M14" i="16"/>
  <c r="AN14" i="16"/>
  <c r="AO14" i="16"/>
  <c r="AP14" i="16"/>
  <c r="AQ14" i="16"/>
  <c r="AR14" i="16"/>
  <c r="AS14" i="16"/>
  <c r="AT14" i="16"/>
  <c r="AU14" i="16"/>
  <c r="AV14" i="16"/>
  <c r="AW14" i="16"/>
  <c r="AX14" i="16"/>
  <c r="AY14" i="16"/>
  <c r="AZ14" i="16"/>
  <c r="BA14" i="16"/>
  <c r="BB14" i="16"/>
  <c r="BC14" i="16"/>
  <c r="BD14" i="16"/>
  <c r="BE14" i="16"/>
  <c r="BF14" i="16"/>
  <c r="BG14" i="16"/>
  <c r="BH14" i="16"/>
  <c r="BI14" i="16"/>
  <c r="BJ14" i="16"/>
  <c r="BK14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AZ15" i="16"/>
  <c r="BA15" i="16"/>
  <c r="BB15" i="16"/>
  <c r="BC15" i="16"/>
  <c r="BD15" i="16"/>
  <c r="BE15" i="16"/>
  <c r="BF15" i="16"/>
  <c r="BG15" i="16"/>
  <c r="BH15" i="16"/>
  <c r="BI15" i="16"/>
  <c r="BJ15" i="16"/>
  <c r="BK15" i="16"/>
  <c r="D5" i="16"/>
  <c r="E5" i="16"/>
  <c r="F5" i="16"/>
  <c r="G5" i="16"/>
  <c r="H5" i="16"/>
  <c r="I5" i="16"/>
  <c r="J5" i="16"/>
  <c r="K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AP5" i="16"/>
  <c r="AQ5" i="16"/>
  <c r="AR5" i="16"/>
  <c r="AS5" i="16"/>
  <c r="AT5" i="16"/>
  <c r="AU5" i="16"/>
  <c r="AV5" i="16"/>
  <c r="AW5" i="16"/>
  <c r="AX5" i="16"/>
  <c r="AY5" i="16"/>
  <c r="AZ5" i="16"/>
  <c r="BA5" i="16"/>
  <c r="BB5" i="16"/>
  <c r="BC5" i="16"/>
  <c r="BD5" i="16"/>
  <c r="BE5" i="16"/>
  <c r="BF5" i="16"/>
  <c r="BG5" i="16"/>
  <c r="BH5" i="16"/>
  <c r="BI5" i="16"/>
  <c r="BJ5" i="16"/>
  <c r="BK5" i="16"/>
  <c r="D6" i="16"/>
  <c r="E6" i="16"/>
  <c r="F6" i="16"/>
  <c r="G6" i="16"/>
  <c r="H6" i="16"/>
  <c r="I6" i="16"/>
  <c r="J6" i="16"/>
  <c r="K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AZ6" i="16"/>
  <c r="BA6" i="16"/>
  <c r="BB6" i="16"/>
  <c r="BC6" i="16"/>
  <c r="BD6" i="16"/>
  <c r="BE6" i="16"/>
  <c r="BF6" i="16"/>
  <c r="BG6" i="16"/>
  <c r="BH6" i="16"/>
  <c r="BI6" i="16"/>
  <c r="BJ6" i="16"/>
  <c r="BK6" i="16"/>
  <c r="D7" i="16"/>
  <c r="E7" i="16"/>
  <c r="F7" i="16"/>
  <c r="G7" i="16"/>
  <c r="H7" i="16"/>
  <c r="I7" i="16"/>
  <c r="J7" i="16"/>
  <c r="K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BH7" i="16"/>
  <c r="BI7" i="16"/>
  <c r="BJ7" i="16"/>
  <c r="BK7" i="16"/>
  <c r="D8" i="16"/>
  <c r="E8" i="16"/>
  <c r="F8" i="16"/>
  <c r="G8" i="16"/>
  <c r="H8" i="16"/>
  <c r="I8" i="16"/>
  <c r="J8" i="16"/>
  <c r="K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AZ8" i="16"/>
  <c r="BA8" i="16"/>
  <c r="BB8" i="16"/>
  <c r="BC8" i="16"/>
  <c r="BD8" i="16"/>
  <c r="BE8" i="16"/>
  <c r="BF8" i="16"/>
  <c r="BG8" i="16"/>
  <c r="BH8" i="16"/>
  <c r="BI8" i="16"/>
  <c r="BJ8" i="16"/>
  <c r="BK8" i="16"/>
  <c r="D9" i="16"/>
  <c r="E9" i="16"/>
  <c r="F9" i="16"/>
  <c r="G9" i="16"/>
  <c r="H9" i="16"/>
  <c r="I9" i="16"/>
  <c r="J9" i="16"/>
  <c r="K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AZ9" i="16"/>
  <c r="BA9" i="16"/>
  <c r="BB9" i="16"/>
  <c r="BC9" i="16"/>
  <c r="BD9" i="16"/>
  <c r="BE9" i="16"/>
  <c r="BF9" i="16"/>
  <c r="BG9" i="16"/>
  <c r="BH9" i="16"/>
  <c r="BI9" i="16"/>
  <c r="BJ9" i="16"/>
  <c r="BK9" i="16"/>
  <c r="D10" i="16"/>
  <c r="E10" i="16"/>
  <c r="F10" i="16"/>
  <c r="G10" i="16"/>
  <c r="H10" i="16"/>
  <c r="I10" i="16"/>
  <c r="J10" i="16"/>
  <c r="K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M10" i="16"/>
  <c r="AN10" i="16"/>
  <c r="AO10" i="16"/>
  <c r="AP10" i="16"/>
  <c r="AQ10" i="16"/>
  <c r="AR10" i="16"/>
  <c r="AS10" i="16"/>
  <c r="AT10" i="16"/>
  <c r="AU10" i="16"/>
  <c r="AV10" i="16"/>
  <c r="AW10" i="16"/>
  <c r="AX10" i="16"/>
  <c r="AY10" i="16"/>
  <c r="AZ10" i="16"/>
  <c r="BA10" i="16"/>
  <c r="BB10" i="16"/>
  <c r="BC10" i="16"/>
  <c r="BD10" i="16"/>
  <c r="BE10" i="16"/>
  <c r="BF10" i="16"/>
  <c r="BG10" i="16"/>
  <c r="BH10" i="16"/>
  <c r="BI10" i="16"/>
  <c r="BJ10" i="16"/>
  <c r="BK10" i="16"/>
  <c r="D11" i="16"/>
  <c r="E11" i="16"/>
  <c r="F11" i="16"/>
  <c r="G11" i="16"/>
  <c r="H11" i="16"/>
  <c r="I11" i="16"/>
  <c r="J11" i="16"/>
  <c r="K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AT11" i="16"/>
  <c r="AU11" i="16"/>
  <c r="AV11" i="16"/>
  <c r="AW11" i="16"/>
  <c r="AX11" i="16"/>
  <c r="AY11" i="16"/>
  <c r="AZ11" i="16"/>
  <c r="BA11" i="16"/>
  <c r="BB11" i="16"/>
  <c r="BC11" i="16"/>
  <c r="BD11" i="16"/>
  <c r="BE11" i="16"/>
  <c r="BF11" i="16"/>
  <c r="BG11" i="16"/>
  <c r="BH11" i="16"/>
  <c r="BI11" i="16"/>
  <c r="BJ11" i="16"/>
  <c r="BK11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AZ12" i="16"/>
  <c r="BA12" i="16"/>
  <c r="BB12" i="16"/>
  <c r="BC12" i="16"/>
  <c r="BD12" i="16"/>
  <c r="BE12" i="16"/>
  <c r="BF12" i="16"/>
  <c r="BG12" i="16"/>
  <c r="BH12" i="16"/>
  <c r="BI12" i="16"/>
  <c r="BJ12" i="16"/>
  <c r="BK12" i="16"/>
  <c r="E4" i="16"/>
  <c r="F4" i="16"/>
  <c r="G4" i="16"/>
  <c r="H4" i="16"/>
  <c r="I4" i="16"/>
  <c r="J4" i="16"/>
  <c r="K4" i="16"/>
  <c r="W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AN4" i="16"/>
  <c r="AO4" i="16"/>
  <c r="AP4" i="16"/>
  <c r="AQ4" i="16"/>
  <c r="AR4" i="16"/>
  <c r="AS4" i="16"/>
  <c r="AT4" i="16"/>
  <c r="AU4" i="16"/>
  <c r="AV4" i="16"/>
  <c r="AW4" i="16"/>
  <c r="AX4" i="16"/>
  <c r="AY4" i="16"/>
  <c r="AZ4" i="16"/>
  <c r="BA4" i="16"/>
  <c r="BB4" i="16"/>
  <c r="BC4" i="16"/>
  <c r="BD4" i="16"/>
  <c r="BE4" i="16"/>
  <c r="BF4" i="16"/>
  <c r="BG4" i="16"/>
  <c r="BH4" i="16"/>
  <c r="BI4" i="16"/>
  <c r="BJ4" i="16"/>
  <c r="BK4" i="16"/>
  <c r="D4" i="16"/>
  <c r="C16" i="16" l="1"/>
  <c r="C7" i="16"/>
  <c r="C11" i="16"/>
  <c r="C15" i="16"/>
  <c r="C8" i="16"/>
  <c r="C12" i="16"/>
  <c r="C4" i="16"/>
  <c r="C10" i="16"/>
  <c r="C14" i="16"/>
  <c r="C5" i="16"/>
  <c r="C9" i="16"/>
  <c r="C13" i="16"/>
  <c r="C6" i="16"/>
  <c r="N36" i="3"/>
  <c r="N35" i="3"/>
  <c r="N22" i="3"/>
  <c r="N40" i="3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0" i="3"/>
  <c r="N31" i="3"/>
  <c r="N32" i="3"/>
  <c r="N37" i="3"/>
  <c r="N38" i="3"/>
  <c r="N39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11" i="3"/>
  <c r="N112" i="3"/>
  <c r="N113" i="3"/>
  <c r="N114" i="3"/>
  <c r="N115" i="3"/>
  <c r="N116" i="3"/>
  <c r="N117" i="3"/>
  <c r="N118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" i="3"/>
  <c r="J30" i="3" l="1"/>
  <c r="J1" i="10" l="1"/>
  <c r="I1" i="10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E2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2" i="5"/>
  <c r="F35" i="5" l="1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6" i="5"/>
  <c r="F7" i="5"/>
  <c r="F8" i="5"/>
  <c r="F9" i="5"/>
  <c r="F10" i="5"/>
  <c r="F11" i="5"/>
  <c r="F12" i="5"/>
  <c r="F13" i="5"/>
  <c r="F4" i="5"/>
  <c r="F5" i="5"/>
  <c r="F3" i="5" l="1"/>
  <c r="F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2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<sst xmlns="http://schemas.openxmlformats.org/spreadsheetml/2006/main" count="20522" uniqueCount="10762">
  <si>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</si>
  <si>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</si>
  <si>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</si>
  <si>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</si>
  <si>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</si>
  <si>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</si>
  <si>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</si>
  <si>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</si>
  <si>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</si>
  <si>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</si>
  <si>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</si>
  <si>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</si>
  <si>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</si>
  <si>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</si>
  <si>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</si>
  <si>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</si>
  <si>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</si>
  <si>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</si>
  <si>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</si>
  <si>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</si>
  <si>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</si>
  <si>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</si>
  <si>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</si>
  <si>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</si>
  <si>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</si>
  <si>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</si>
  <si>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</si>
  <si>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</si>
  <si>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</si>
  <si>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</si>
  <si>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</si>
  <si>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</si>
  <si>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</si>
  <si>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</si>
  <si>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</si>
  <si>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</si>
  <si>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</si>
  <si>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</si>
  <si>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</si>
  <si>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</si>
  <si>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</si>
  <si>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</si>
  <si>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</si>
  <si>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</si>
  <si>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</si>
  <si>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</si>
  <si>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</si>
  <si>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</si>
  <si>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</si>
  <si>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</si>
  <si>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</si>
  <si>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</si>
  <si>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</si>
  <si>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</si>
  <si>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</si>
  <si>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</si>
  <si>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</si>
  <si>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</si>
  <si>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</si>
  <si>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</si>
  <si>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</si>
  <si>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</si>
  <si>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</si>
  <si>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</si>
  <si>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</si>
  <si>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</si>
  <si>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</si>
  <si>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</si>
  <si>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</si>
  <si>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</si>
  <si>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</si>
  <si>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</si>
  <si>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</si>
  <si>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</si>
  <si>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</si>
  <si>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</si>
  <si>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</si>
  <si>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</si>
  <si>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</si>
  <si>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</si>
  <si>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</si>
  <si>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</si>
  <si>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</si>
  <si>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</si>
  <si>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</si>
  <si>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</si>
  <si>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</si>
  <si>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</si>
  <si>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</si>
  <si>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</si>
  <si>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</si>
  <si>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</si>
  <si>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</si>
  <si>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</si>
  <si>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</si>
  <si>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</si>
  <si>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</si>
  <si>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</si>
  <si>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</si>
  <si>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</si>
  <si>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</si>
  <si>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</si>
  <si>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</si>
  <si>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</si>
  <si>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</si>
  <si>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</si>
  <si>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</si>
  <si>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</si>
  <si>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</si>
  <si>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</si>
  <si>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</si>
  <si>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</si>
  <si>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</si>
  <si>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</si>
  <si>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</si>
  <si>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</si>
  <si>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</si>
  <si>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</si>
  <si>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</si>
  <si>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</si>
  <si>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</si>
  <si>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</si>
  <si>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</si>
  <si>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</si>
  <si>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</si>
  <si>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</si>
  <si>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</si>
  <si>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</si>
  <si>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</si>
  <si>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</si>
  <si>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</si>
  <si>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</si>
  <si>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</si>
  <si>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</si>
  <si>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</si>
  <si>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</si>
  <si>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</si>
  <si>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</si>
  <si>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</si>
  <si>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</si>
  <si>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</si>
  <si>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</si>
  <si>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</si>
  <si>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</si>
  <si>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</si>
  <si>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</si>
  <si>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</si>
  <si>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</si>
  <si>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</si>
  <si>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</si>
  <si>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</si>
  <si>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</si>
  <si>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</si>
  <si>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</si>
  <si>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</si>
  <si>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</si>
  <si>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</si>
  <si>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</si>
  <si>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</si>
  <si>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</si>
  <si>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</si>
  <si>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</si>
  <si>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</si>
  <si>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</si>
  <si>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</si>
  <si>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</si>
  <si>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</si>
  <si>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</si>
  <si>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</si>
  <si>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</si>
  <si>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</si>
  <si>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</si>
  <si>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</si>
  <si>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</si>
  <si>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</si>
  <si>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</si>
  <si>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</si>
  <si>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</si>
  <si>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</si>
  <si>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</si>
  <si>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</si>
  <si>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</si>
  <si>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</si>
  <si>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</si>
  <si>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</si>
  <si>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</si>
  <si>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</si>
  <si>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</si>
  <si>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</si>
  <si>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</si>
  <si>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</si>
  <si>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</si>
  <si>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</si>
  <si>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</si>
  <si>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</si>
  <si>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</si>
  <si>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</si>
  <si>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</si>
  <si>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</si>
  <si>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</si>
  <si>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</si>
  <si>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</si>
  <si>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</si>
  <si>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</si>
  <si>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</si>
  <si>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</si>
  <si>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</si>
  <si>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</si>
  <si>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</si>
  <si>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</si>
  <si>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</si>
  <si>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</si>
  <si>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</si>
  <si>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</si>
  <si>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</si>
  <si>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</si>
  <si>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</si>
  <si>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</si>
  <si>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</si>
  <si>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</si>
  <si>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</si>
  <si>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</si>
  <si>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</si>
  <si>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</si>
  <si>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</si>
  <si>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</si>
  <si>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</si>
  <si>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</si>
  <si>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</si>
  <si>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</si>
  <si>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</si>
  <si>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</si>
  <si>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</si>
  <si>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</si>
  <si>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</si>
  <si>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</si>
  <si>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</si>
  <si>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</si>
  <si>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</si>
  <si>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</si>
  <si>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</si>
  <si>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</si>
  <si>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</si>
  <si>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</si>
  <si>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</si>
  <si>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</si>
  <si>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</si>
  <si>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</si>
  <si>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</si>
  <si>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</si>
  <si>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</si>
  <si>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</si>
  <si>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</si>
  <si>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</si>
  <si>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</si>
  <si>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</si>
  <si>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</si>
  <si>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</si>
  <si>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</si>
  <si>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</si>
  <si>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</si>
  <si>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</si>
  <si>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</si>
  <si>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</si>
  <si>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</si>
  <si>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</si>
  <si>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</si>
  <si>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</si>
  <si>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</si>
  <si>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</si>
  <si>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</si>
  <si>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</si>
  <si>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</si>
  <si>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</si>
  <si>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</si>
  <si>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</si>
  <si>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</si>
  <si>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</si>
  <si>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</si>
  <si>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</si>
  <si>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</si>
  <si>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</si>
  <si>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</si>
  <si>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</si>
  <si>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</si>
  <si>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</si>
  <si>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</si>
  <si>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</si>
  <si>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</si>
  <si>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</si>
  <si>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</si>
  <si>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</si>
  <si>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</si>
  <si>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</si>
  <si>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</si>
  <si>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</si>
  <si>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</si>
  <si>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</si>
  <si>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</si>
  <si>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</si>
  <si>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</si>
  <si>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</si>
  <si>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</si>
  <si>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</si>
  <si>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</si>
  <si>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</si>
  <si>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</si>
  <si>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</si>
  <si>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</si>
  <si>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</si>
  <si>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</si>
  <si>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</si>
  <si>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</si>
  <si>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</si>
  <si>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</si>
  <si>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</si>
  <si>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</si>
  <si>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</si>
  <si>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</si>
  <si>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</si>
  <si>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</si>
  <si>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</si>
  <si>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</si>
  <si>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</si>
  <si>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</si>
  <si>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</si>
  <si>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</si>
  <si>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</si>
  <si>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</si>
  <si>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</si>
  <si>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</si>
  <si>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</si>
  <si>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</si>
  <si>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</si>
  <si>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</si>
  <si>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</si>
  <si>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</si>
  <si>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</si>
  <si>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</si>
  <si>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</si>
  <si>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</si>
  <si>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</si>
  <si>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</si>
  <si>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</si>
  <si>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</si>
  <si>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</si>
  <si>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</si>
  <si>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</si>
  <si>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</si>
  <si>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</si>
  <si>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</si>
  <si>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</si>
  <si>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</si>
  <si>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</si>
  <si>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</si>
  <si>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</si>
  <si>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</si>
  <si>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</si>
  <si>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</si>
  <si>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</si>
  <si>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</si>
  <si>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</si>
  <si>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</si>
  <si>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</si>
  <si>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</si>
  <si>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</si>
  <si>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</si>
  <si>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</si>
  <si>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</si>
  <si>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</si>
  <si>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</si>
  <si>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</si>
  <si>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</si>
  <si>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</si>
  <si>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</si>
  <si>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</si>
  <si>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</si>
  <si>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</si>
  <si>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</si>
  <si>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</si>
  <si>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</si>
  <si>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</si>
  <si>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</si>
  <si>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</si>
  <si>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</si>
  <si>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</si>
  <si>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</si>
  <si>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</si>
  <si>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</si>
  <si>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</si>
  <si>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</si>
  <si>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</si>
  <si>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</si>
  <si>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</si>
  <si>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</si>
  <si>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</si>
  <si>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</si>
  <si>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</si>
  <si>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</si>
  <si>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</si>
  <si>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</si>
  <si>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</si>
  <si>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</si>
  <si>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</si>
  <si>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</si>
  <si>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</si>
  <si>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</si>
  <si>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</si>
  <si>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</si>
  <si>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</si>
  <si>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</si>
  <si>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</si>
  <si>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</si>
  <si>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</si>
  <si>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</si>
  <si>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</si>
  <si>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</si>
  <si>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</si>
  <si>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</si>
  <si>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</si>
  <si>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</si>
  <si>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</si>
  <si>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</si>
  <si>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</si>
  <si>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</si>
  <si>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</si>
  <si>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</si>
  <si>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</si>
  <si>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</si>
  <si>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</si>
  <si>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</si>
  <si>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</si>
  <si>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</si>
  <si>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</si>
  <si>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</si>
  <si>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</si>
  <si>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</si>
  <si>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</si>
  <si>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</si>
  <si>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</si>
  <si>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</si>
  <si>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</si>
  <si>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</si>
  <si>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</si>
  <si>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</si>
  <si>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</si>
  <si>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</si>
  <si>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</si>
  <si>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</si>
  <si>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</si>
  <si>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</si>
  <si>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</si>
  <si>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</si>
  <si>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</si>
  <si>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</si>
  <si>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</si>
  <si>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</si>
  <si>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</si>
  <si>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</si>
  <si>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</si>
  <si>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</si>
  <si>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</si>
  <si>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</si>
  <si>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</si>
  <si>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</si>
  <si>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</si>
  <si>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</si>
  <si>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</si>
  <si>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</si>
  <si>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</si>
  <si>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</si>
  <si>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</si>
  <si>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</si>
  <si>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</si>
  <si>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</si>
  <si>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</si>
  <si>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</si>
  <si>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</si>
  <si>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</si>
  <si>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</si>
  <si>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</si>
  <si>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</si>
  <si>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</si>
  <si>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</si>
  <si>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</si>
  <si>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</si>
  <si>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</si>
  <si>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</si>
  <si>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</si>
  <si>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</si>
  <si>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</si>
  <si>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</si>
  <si>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</si>
  <si>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</si>
  <si>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</si>
  <si>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</si>
  <si>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</si>
  <si>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</si>
  <si>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</si>
  <si>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</si>
  <si>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</si>
  <si>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</si>
  <si>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</si>
  <si>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</si>
  <si>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</si>
  <si>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</si>
  <si>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</si>
  <si>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</si>
  <si>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</si>
  <si>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</si>
  <si>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</si>
  <si>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</si>
  <si>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</si>
  <si>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</si>
  <si>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</si>
  <si>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</si>
  <si>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</si>
  <si>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</si>
  <si>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</si>
  <si>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</si>
  <si>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</si>
  <si>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</si>
  <si>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</si>
  <si>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</si>
  <si>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</si>
  <si>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</si>
  <si>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</si>
  <si>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</si>
  <si>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</si>
  <si>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</si>
  <si>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</si>
  <si>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</si>
  <si>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</si>
  <si>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</si>
  <si>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</si>
  <si>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</si>
  <si>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</si>
  <si>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</si>
  <si>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</si>
  <si>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</si>
  <si>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</si>
  <si>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</si>
  <si>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</si>
  <si>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</si>
  <si>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</si>
  <si>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</si>
  <si>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</si>
  <si>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</si>
  <si>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</si>
  <si>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</si>
  <si>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</si>
  <si>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</si>
  <si>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</si>
  <si>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</si>
  <si>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</si>
  <si>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</si>
  <si>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</si>
  <si>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</si>
  <si>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</si>
  <si>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</si>
  <si>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</si>
  <si>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</si>
  <si>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</si>
  <si>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</si>
  <si>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</si>
  <si>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</si>
  <si>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</si>
  <si>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</si>
  <si>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</si>
  <si>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</si>
  <si>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</si>
  <si>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</si>
  <si>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</si>
  <si>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</si>
  <si>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</si>
  <si>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</si>
  <si>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</si>
  <si>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</si>
  <si>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</si>
  <si>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</si>
  <si>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</si>
  <si>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</si>
  <si>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</si>
  <si>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</si>
  <si>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</si>
  <si>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</si>
  <si>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</si>
  <si>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</si>
  <si>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</si>
  <si>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</si>
  <si>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</si>
  <si>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</si>
  <si>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</si>
  <si>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</si>
  <si>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</si>
  <si>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</si>
  <si>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</si>
  <si>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</si>
  <si>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</si>
  <si>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</si>
  <si>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</si>
  <si>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</si>
  <si>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</si>
  <si>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</si>
  <si>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</si>
  <si>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</si>
  <si>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</si>
  <si>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</si>
  <si>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</si>
  <si>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</si>
  <si>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</si>
  <si>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</si>
  <si>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</si>
  <si>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</si>
  <si>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</si>
  <si>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</si>
  <si>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</si>
  <si>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</si>
  <si>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</si>
  <si>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</si>
  <si>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</si>
  <si>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</si>
  <si>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</si>
  <si>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</si>
  <si>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</si>
  <si>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</si>
  <si>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</si>
  <si>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</si>
  <si>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</si>
  <si>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</si>
  <si>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</si>
  <si>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</si>
  <si>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</si>
  <si>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</si>
  <si>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</si>
  <si>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</si>
  <si>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</si>
  <si>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</si>
  <si>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</si>
  <si>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</si>
  <si>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</si>
  <si>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</si>
  <si>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</si>
  <si>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</si>
  <si>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</si>
  <si>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</si>
  <si>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</si>
  <si>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</si>
  <si>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</si>
  <si>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</si>
  <si>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</si>
  <si>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</si>
  <si>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</si>
  <si>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</si>
  <si>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</si>
  <si>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</si>
  <si>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</si>
  <si>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</si>
  <si>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</si>
  <si>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</si>
  <si>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</si>
  <si>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</si>
  <si>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</si>
  <si>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</si>
  <si>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</si>
  <si>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</si>
  <si>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</si>
  <si>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</si>
  <si>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</si>
  <si>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</si>
  <si>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</si>
  <si>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</si>
  <si>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</si>
  <si>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</si>
  <si>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</si>
  <si>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</si>
  <si>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</si>
  <si>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</si>
  <si>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</si>
  <si>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</si>
  <si>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</si>
  <si>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</si>
  <si>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</si>
  <si>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</si>
  <si>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</si>
  <si>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</si>
  <si>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</si>
  <si>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</si>
  <si>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</si>
  <si>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</si>
  <si>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</si>
  <si>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</si>
  <si>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</si>
  <si>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</si>
  <si>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</si>
  <si>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</si>
  <si>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</si>
  <si>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</si>
  <si>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</si>
  <si>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</si>
  <si>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</si>
  <si>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</si>
  <si>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</si>
  <si>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</si>
  <si>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</si>
  <si>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</si>
  <si>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</si>
  <si>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</si>
  <si>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</si>
  <si>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</si>
  <si>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</si>
  <si>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</si>
  <si>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</si>
  <si>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</si>
  <si>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</si>
  <si>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</si>
  <si>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</si>
  <si>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</si>
  <si>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</si>
  <si>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</si>
  <si>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</si>
  <si>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</si>
  <si>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</si>
  <si>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</si>
  <si>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</si>
  <si>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</si>
  <si>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</si>
  <si>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</si>
  <si>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</si>
  <si>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</si>
  <si>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</si>
  <si>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</si>
  <si>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</si>
  <si>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</si>
  <si>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</si>
  <si>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</si>
  <si>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</si>
  <si>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</si>
  <si>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</si>
  <si>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</si>
  <si>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</si>
  <si>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</si>
  <si>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</si>
  <si>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</si>
  <si>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</si>
  <si>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</si>
  <si>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</si>
  <si>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</si>
  <si>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</si>
  <si>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</si>
  <si>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</si>
  <si>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</si>
  <si>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</si>
  <si>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</si>
  <si>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</si>
  <si>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</si>
  <si>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</si>
  <si>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</si>
  <si>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</si>
  <si>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</si>
  <si>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</si>
  <si>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</si>
  <si>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</si>
  <si>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</si>
  <si>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</si>
  <si>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</si>
  <si>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</si>
  <si>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</si>
  <si>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</si>
  <si>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</si>
  <si>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</si>
  <si>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</si>
  <si>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</si>
  <si>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</si>
  <si>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</si>
  <si>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</si>
  <si>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</si>
  <si>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</si>
  <si>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</si>
  <si>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</si>
  <si>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</si>
  <si>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</si>
  <si>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</si>
  <si>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</si>
  <si>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</si>
  <si>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</si>
  <si>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</si>
  <si>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</si>
  <si>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</si>
  <si>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</si>
  <si>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</si>
  <si>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</si>
  <si>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</si>
  <si>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</si>
  <si>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</si>
  <si>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</si>
  <si>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</si>
  <si>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</si>
  <si>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</si>
  <si>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</si>
  <si>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</si>
  <si>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</si>
  <si>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</si>
  <si>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</si>
  <si>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</si>
  <si>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</si>
  <si>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</si>
  <si>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</si>
  <si>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</si>
  <si>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</si>
  <si>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</si>
  <si>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</si>
  <si>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</si>
  <si>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</si>
  <si>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</si>
  <si>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</si>
  <si>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</si>
  <si>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</si>
  <si>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</si>
  <si>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</si>
  <si>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</si>
  <si>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</si>
  <si>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</si>
  <si>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</si>
  <si>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</si>
  <si>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</si>
  <si>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</si>
  <si>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</si>
  <si>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</si>
  <si>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</si>
  <si>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</si>
  <si>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</si>
  <si>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</si>
  <si>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</si>
  <si>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</si>
  <si>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</si>
  <si>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</si>
  <si>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</si>
  <si>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</si>
  <si>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</si>
  <si>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</si>
  <si>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</si>
  <si>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</si>
  <si>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</si>
  <si>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</si>
  <si>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</si>
  <si>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</si>
  <si>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</si>
  <si>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</si>
  <si>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</si>
  <si>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</si>
  <si>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</si>
  <si>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</si>
  <si>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</si>
  <si>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</si>
  <si>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</si>
  <si>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</si>
  <si>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</si>
  <si>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</si>
  <si>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</si>
  <si>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</si>
  <si>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</si>
  <si>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</si>
  <si>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</si>
  <si>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</si>
  <si>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</si>
  <si>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</si>
  <si>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</si>
  <si>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</si>
  <si>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</si>
  <si>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</si>
  <si>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</si>
  <si>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</si>
  <si>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</si>
  <si>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</si>
  <si>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</si>
  <si>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</si>
  <si>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</si>
  <si>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</si>
  <si>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</si>
  <si>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</si>
  <si>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</si>
  <si>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</si>
  <si>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</si>
  <si>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</si>
  <si>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</si>
  <si>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</si>
  <si>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</si>
  <si>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</si>
  <si>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</si>
  <si>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</si>
  <si>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</si>
  <si>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</si>
  <si>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</si>
  <si>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</si>
  <si>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</si>
  <si>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</si>
  <si>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</si>
  <si>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</si>
  <si>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</si>
  <si>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</si>
  <si>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</si>
  <si>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</si>
  <si>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</si>
  <si>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</si>
  <si>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</si>
  <si>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</si>
  <si>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</si>
  <si>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</si>
  <si>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</si>
  <si>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</si>
  <si>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</si>
  <si>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</si>
  <si>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</si>
  <si>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</si>
  <si>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</si>
  <si>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</si>
  <si>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</si>
  <si>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</si>
  <si>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</si>
  <si>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</si>
  <si>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</si>
  <si>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</si>
  <si>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</si>
  <si>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</si>
  <si>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</si>
  <si>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</si>
  <si>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</si>
  <si>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</si>
  <si>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</si>
  <si>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</si>
  <si>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</si>
  <si>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</si>
  <si>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</si>
  <si>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</si>
  <si>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</si>
  <si>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</si>
  <si>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</si>
  <si>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</si>
  <si>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</si>
  <si>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</si>
  <si>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</si>
  <si>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</si>
  <si>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</si>
  <si>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</si>
  <si>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</si>
  <si>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</si>
  <si>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</si>
  <si>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</si>
  <si>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</si>
  <si>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</si>
  <si>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</si>
  <si>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</si>
  <si>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</si>
  <si>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</si>
  <si>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</si>
  <si>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</si>
  <si>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</si>
  <si>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</si>
  <si>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</si>
  <si>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</si>
  <si>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</si>
  <si>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</si>
  <si>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</si>
  <si>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</si>
  <si>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</si>
  <si>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</si>
  <si>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</si>
  <si>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</si>
  <si>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</si>
  <si>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</si>
  <si>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</si>
  <si>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</si>
  <si>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</si>
  <si>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</si>
  <si>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</si>
  <si>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</si>
  <si>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</si>
  <si>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</si>
  <si>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</si>
  <si>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</si>
  <si>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</si>
  <si>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</si>
  <si>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</si>
  <si>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</si>
  <si>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</si>
  <si>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</si>
  <si>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</si>
  <si>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</si>
  <si>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</si>
  <si>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</si>
  <si>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</si>
  <si>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</si>
  <si>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</si>
  <si>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</si>
  <si>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</si>
  <si>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</si>
  <si>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</si>
  <si>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</si>
  <si>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</si>
  <si>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</si>
  <si>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</si>
  <si>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</si>
  <si>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</si>
  <si>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</si>
  <si>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</si>
  <si>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</si>
  <si>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</si>
  <si>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</si>
  <si>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</si>
  <si>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</si>
  <si>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</si>
  <si>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</si>
  <si>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</si>
  <si>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</si>
  <si>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</si>
  <si>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</si>
  <si>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</si>
  <si>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</si>
  <si>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</si>
  <si>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</si>
  <si>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</si>
  <si>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</si>
  <si>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</si>
  <si>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</si>
  <si>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</si>
  <si>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</si>
  <si>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</si>
  <si>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</si>
  <si>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</si>
  <si>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</si>
  <si>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</si>
  <si>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</si>
  <si>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</si>
  <si>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</si>
  <si>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</si>
  <si>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</si>
  <si>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</si>
  <si>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</si>
  <si>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</si>
  <si>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</si>
  <si>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</si>
  <si>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</si>
  <si>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</si>
  <si>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</si>
  <si>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</si>
  <si>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</si>
  <si>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</si>
  <si>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</si>
  <si>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</si>
  <si>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</si>
  <si>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</si>
  <si>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</si>
  <si>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</si>
  <si>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</si>
  <si>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</si>
  <si>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</si>
  <si>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</si>
  <si>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</si>
  <si>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</si>
  <si>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</si>
  <si>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</si>
  <si>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</si>
  <si>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</si>
  <si>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</si>
  <si>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</si>
  <si>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</si>
  <si>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</si>
  <si>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</si>
  <si>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</si>
  <si>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</si>
  <si>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</si>
  <si>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</si>
  <si>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</si>
  <si>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</si>
  <si>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</si>
  <si>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</si>
  <si>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</si>
  <si>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</si>
  <si>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</si>
  <si>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</si>
  <si>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</si>
  <si>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</si>
  <si>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</si>
  <si>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</si>
  <si>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</si>
  <si>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</si>
  <si>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</si>
  <si>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</si>
  <si>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</si>
  <si>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</si>
  <si>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</si>
  <si>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</si>
  <si>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</si>
  <si>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</si>
  <si>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</si>
  <si>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</si>
  <si>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</si>
  <si>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</si>
  <si>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</si>
  <si>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</si>
  <si>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</si>
  <si>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</si>
  <si>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</si>
  <si>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</si>
  <si>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</si>
  <si>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</si>
  <si>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</si>
  <si>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</si>
  <si>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</si>
  <si>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</si>
  <si>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</si>
  <si>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</si>
  <si>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</si>
  <si>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</si>
  <si>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</si>
  <si>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</si>
  <si>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</si>
  <si>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</si>
  <si>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</si>
  <si>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</si>
  <si>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</si>
  <si>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</si>
  <si>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</si>
  <si>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</si>
  <si>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</si>
  <si>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</si>
  <si>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</si>
  <si>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</si>
  <si>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</si>
  <si>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</si>
  <si>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</si>
  <si>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</si>
  <si>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</si>
  <si>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</si>
  <si>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</si>
  <si>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</si>
  <si>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</si>
  <si>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</si>
  <si>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</si>
  <si>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</si>
  <si>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</si>
  <si>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</si>
  <si>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</si>
  <si>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</si>
  <si>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</si>
  <si>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</si>
  <si>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</si>
  <si>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</si>
  <si>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</si>
  <si>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</si>
  <si>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</si>
  <si>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</si>
  <si>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</si>
  <si>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</si>
  <si>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</si>
  <si>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</si>
  <si>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</si>
  <si>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</si>
  <si>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</si>
  <si>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</si>
  <si>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</si>
  <si>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</si>
  <si>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</si>
  <si>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</si>
  <si>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</si>
  <si>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</si>
  <si>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</si>
  <si>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</si>
  <si>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</si>
  <si>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</si>
  <si>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</si>
  <si>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</si>
  <si>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</si>
  <si>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</si>
  <si>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</si>
  <si>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</si>
  <si>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</si>
  <si>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</si>
  <si>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</si>
  <si>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</si>
  <si>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</si>
  <si>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</si>
  <si>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</si>
  <si>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</si>
  <si>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</si>
  <si>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</si>
  <si>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</si>
  <si>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</si>
  <si>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</si>
  <si>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</si>
  <si>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</si>
  <si>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</si>
  <si>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</si>
  <si>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</si>
  <si>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</si>
  <si>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</si>
  <si>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</si>
  <si>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</si>
  <si>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</si>
  <si>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</si>
  <si>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</si>
  <si>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</si>
  <si>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</si>
  <si>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</si>
  <si>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</si>
  <si>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</si>
  <si>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</si>
  <si>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</si>
  <si>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</si>
  <si>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</si>
  <si>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</si>
  <si>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</si>
  <si>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</si>
  <si>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</si>
  <si>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</si>
  <si>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</si>
  <si>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</si>
  <si>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</si>
  <si>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</si>
  <si>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</si>
  <si>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</si>
  <si>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</si>
  <si>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</si>
  <si>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</si>
  <si>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</si>
  <si>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</si>
  <si>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</si>
  <si>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</si>
  <si>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</si>
  <si>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</si>
  <si>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</si>
  <si>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</si>
  <si>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</si>
  <si>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</si>
  <si>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</si>
  <si>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</si>
  <si>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</si>
  <si>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</si>
  <si>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</si>
  <si>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</si>
  <si>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</si>
  <si>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</si>
  <si>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</si>
  <si>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</si>
  <si>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</si>
  <si>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</si>
  <si>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</si>
  <si>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</si>
  <si>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</si>
  <si>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</si>
  <si>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</si>
  <si>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</si>
  <si>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</si>
  <si>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</si>
  <si>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</si>
  <si>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</si>
  <si>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</si>
  <si>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</si>
  <si>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</si>
  <si>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</si>
  <si>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</si>
  <si>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</si>
  <si>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</si>
  <si>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</si>
  <si>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</si>
  <si>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</si>
  <si>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</si>
  <si>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</si>
  <si>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</si>
  <si>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</si>
  <si>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</si>
  <si>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</si>
  <si>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</si>
  <si>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</si>
  <si>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</si>
  <si>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</si>
  <si>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</si>
  <si>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</si>
  <si>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</si>
  <si>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</si>
  <si>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</si>
  <si>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</si>
  <si>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</si>
  <si>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</si>
  <si>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</si>
  <si>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</si>
  <si>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</si>
  <si>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</si>
  <si>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</si>
  <si>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</si>
  <si>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</si>
  <si>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</si>
  <si>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</si>
  <si>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</si>
  <si>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</si>
  <si>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</si>
  <si>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</si>
  <si>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</si>
  <si>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</si>
  <si>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</si>
  <si>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</si>
  <si>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</si>
  <si>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</si>
  <si>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</si>
  <si>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</si>
  <si>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</si>
  <si>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</si>
  <si>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</si>
  <si>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</si>
  <si>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</si>
  <si>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</si>
  <si>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</si>
  <si>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</si>
  <si>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</si>
  <si>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</si>
  <si>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</si>
  <si>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</si>
  <si>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</si>
  <si>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</si>
  <si>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</si>
  <si>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</si>
  <si>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</si>
  <si>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</si>
  <si>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</si>
  <si>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</si>
  <si>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</si>
  <si>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</si>
  <si>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</si>
  <si>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</si>
  <si>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</si>
  <si>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</si>
  <si>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</si>
  <si>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</si>
  <si>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</si>
  <si>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</si>
  <si>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</si>
  <si>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</si>
  <si>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</si>
  <si>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</si>
  <si>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</si>
  <si>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</si>
  <si>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</si>
  <si>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</si>
  <si>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</si>
  <si>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</si>
  <si>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</si>
  <si>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</si>
  <si>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</si>
  <si>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</si>
  <si>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</si>
  <si>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</si>
  <si>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</si>
  <si>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</si>
  <si>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</si>
  <si>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</si>
  <si>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</si>
  <si>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</si>
  <si>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</si>
  <si>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</si>
  <si>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</si>
  <si>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</si>
  <si>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</si>
  <si>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</si>
  <si>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</si>
  <si>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</si>
  <si>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</si>
  <si>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</si>
  <si>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</si>
  <si>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</si>
  <si>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</si>
  <si>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</si>
  <si>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</si>
  <si>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</si>
  <si>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</si>
  <si>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</si>
  <si>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</si>
  <si>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</si>
  <si>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</si>
  <si>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</si>
  <si>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</si>
  <si>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</si>
  <si>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</si>
  <si>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</si>
  <si>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</si>
  <si>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</si>
  <si>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</si>
  <si>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</si>
  <si>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</si>
  <si>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</si>
  <si>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</si>
  <si>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</si>
  <si>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</si>
  <si>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</si>
  <si>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</si>
  <si>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</si>
  <si>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</si>
  <si>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</si>
  <si>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</si>
  <si>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</si>
  <si>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</si>
  <si>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</si>
  <si>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</si>
  <si>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</si>
  <si>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</si>
  <si>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</si>
  <si>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</si>
  <si>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</si>
  <si>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</si>
  <si>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</si>
  <si>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</si>
  <si>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</si>
  <si>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</si>
  <si>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</si>
  <si>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</si>
  <si>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</si>
  <si>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</si>
  <si>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</si>
  <si>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</si>
  <si>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</si>
  <si>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</si>
  <si>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</si>
  <si>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</si>
  <si>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</si>
  <si>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</si>
  <si>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</si>
  <si>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</si>
  <si>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</si>
  <si>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</si>
  <si>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</si>
  <si>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</si>
  <si>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</si>
  <si>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</si>
  <si>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</si>
  <si>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</si>
  <si>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</si>
  <si>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</si>
  <si>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</si>
  <si>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</si>
  <si>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</si>
  <si>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</si>
  <si>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</si>
  <si>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</si>
  <si>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</si>
  <si>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</si>
  <si>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</si>
  <si>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</si>
  <si>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</si>
  <si>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</si>
  <si>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</si>
  <si>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</si>
  <si>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</si>
  <si>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</si>
  <si>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</si>
  <si>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</si>
  <si>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</si>
  <si>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</si>
  <si>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</si>
  <si>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</si>
  <si>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</si>
  <si>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</si>
  <si>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</si>
  <si>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</si>
  <si>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</si>
  <si>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</si>
  <si>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</si>
  <si>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</si>
  <si>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</si>
  <si>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</si>
  <si>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</si>
  <si>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</si>
  <si>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</si>
  <si>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</si>
  <si>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</si>
  <si>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</si>
  <si>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</si>
  <si>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</si>
  <si>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</si>
  <si>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</si>
  <si>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</si>
  <si>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</si>
  <si>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</si>
  <si>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</si>
  <si>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</si>
  <si>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</si>
  <si>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</si>
  <si>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</si>
  <si>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</si>
  <si>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</si>
  <si>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</si>
  <si>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</si>
  <si>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</si>
  <si>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</si>
  <si>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</si>
  <si>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</si>
  <si>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</si>
  <si>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</si>
  <si>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</si>
  <si>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</si>
  <si>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</si>
  <si>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</si>
  <si>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</si>
  <si>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</si>
  <si>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</si>
  <si>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</si>
  <si>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</si>
  <si>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</si>
  <si>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</si>
  <si>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</si>
  <si>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</si>
  <si>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</si>
  <si>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</si>
  <si>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</si>
  <si>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</si>
  <si>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</si>
  <si>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</si>
  <si>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</si>
  <si>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</si>
  <si>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</si>
  <si>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</si>
  <si>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</si>
  <si>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</si>
  <si>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</si>
  <si>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</si>
  <si>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</si>
  <si>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</si>
  <si>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</si>
  <si>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</si>
  <si>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</si>
  <si>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</si>
  <si>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</si>
  <si>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</si>
  <si>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</si>
  <si>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</si>
  <si>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</si>
  <si>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</si>
  <si>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</si>
  <si>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</si>
  <si>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</si>
  <si>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</si>
  <si>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</si>
  <si>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</si>
  <si>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</si>
  <si>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</si>
  <si>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</si>
  <si>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</si>
  <si>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</si>
  <si>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</si>
  <si>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</si>
  <si>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</si>
  <si>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</si>
  <si>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</si>
  <si>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</si>
  <si>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</si>
  <si>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</si>
  <si>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</si>
  <si>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</si>
  <si>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</si>
  <si>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</si>
  <si>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</si>
  <si>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</si>
  <si>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</si>
  <si>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</si>
  <si>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</si>
  <si>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</si>
  <si>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</si>
  <si>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</si>
  <si>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</si>
  <si>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</si>
  <si>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</si>
  <si>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</si>
  <si>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</si>
  <si>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</si>
  <si>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</si>
  <si>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</si>
  <si>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</si>
  <si>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</si>
  <si>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</si>
  <si>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</si>
  <si>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</si>
  <si>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</si>
  <si>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</si>
  <si>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</si>
  <si>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</si>
  <si>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</si>
  <si>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</si>
  <si>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</si>
  <si>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</si>
  <si>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</si>
  <si>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</si>
  <si>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</si>
  <si>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</si>
  <si>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</si>
  <si>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</si>
  <si>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</si>
  <si>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</si>
  <si>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</si>
  <si>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</si>
  <si>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</si>
  <si>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</si>
  <si>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</si>
  <si>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</si>
  <si>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</si>
  <si>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</si>
  <si>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</si>
  <si>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</si>
  <si>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</si>
  <si>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</si>
  <si>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</si>
  <si>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</si>
  <si>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</si>
  <si>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</si>
  <si>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</si>
  <si>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</si>
  <si>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</si>
  <si>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</si>
  <si>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</si>
  <si>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</si>
  <si>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</si>
  <si>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</si>
  <si>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</si>
  <si>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</si>
  <si>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</si>
  <si>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</si>
  <si>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</si>
  <si>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</si>
  <si>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</si>
  <si>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</si>
  <si>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</si>
  <si>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</si>
  <si>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</si>
  <si>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</si>
  <si>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</si>
  <si>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</si>
  <si>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</si>
  <si>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</si>
  <si>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</si>
  <si>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</si>
  <si>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</si>
  <si>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</si>
  <si>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</si>
  <si>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</si>
  <si>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</si>
  <si>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</si>
  <si>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</si>
  <si>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</si>
  <si>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</si>
  <si>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</si>
  <si>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</si>
  <si>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</si>
  <si>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</si>
  <si>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</si>
  <si>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</si>
  <si>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</si>
  <si>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</si>
  <si>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</si>
  <si>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</si>
  <si>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</si>
  <si>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</si>
  <si>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</si>
  <si>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</si>
  <si>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</si>
  <si>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</si>
  <si>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</si>
  <si>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</si>
  <si>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</si>
  <si>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</si>
  <si>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</si>
  <si>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</si>
  <si>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</si>
  <si>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</si>
  <si>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</si>
  <si>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</si>
  <si>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</si>
  <si>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</si>
  <si>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</si>
  <si>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</si>
  <si>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</si>
  <si>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</si>
  <si>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</si>
  <si>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</si>
  <si>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</si>
  <si>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</si>
  <si>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</si>
  <si>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</si>
  <si>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</si>
  <si>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</si>
  <si>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</si>
  <si>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</si>
  <si>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</si>
  <si>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</si>
  <si>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</si>
  <si>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</si>
  <si>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</si>
  <si>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</si>
  <si>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</si>
  <si>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</si>
  <si>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</si>
  <si>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</si>
  <si>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</si>
  <si>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</si>
  <si>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</si>
  <si>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</si>
  <si>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</si>
  <si>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</si>
  <si>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</si>
  <si>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</si>
  <si>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</si>
  <si>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</si>
  <si>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</si>
  <si>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</si>
  <si>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</si>
  <si>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</si>
  <si>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</si>
  <si>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</si>
  <si>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</si>
  <si>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</si>
  <si>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</si>
  <si>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</si>
  <si>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</si>
  <si>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</si>
  <si>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</si>
  <si>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</si>
  <si>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</si>
  <si>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</si>
  <si>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</si>
  <si>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</si>
  <si>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</si>
  <si>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</si>
  <si>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</si>
  <si>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</si>
  <si>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</si>
  <si>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</si>
  <si>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</si>
  <si>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</si>
  <si>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</si>
  <si>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</si>
  <si>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</si>
  <si>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</si>
  <si>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</si>
  <si>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</si>
  <si>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</si>
  <si>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</si>
  <si>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</si>
  <si>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</si>
  <si>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</si>
  <si>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</si>
  <si>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</si>
  <si>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</si>
  <si>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</si>
  <si>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</si>
  <si>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</si>
  <si>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</si>
  <si>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</si>
  <si>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</si>
  <si>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</si>
  <si>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</si>
  <si>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</si>
  <si>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</si>
  <si>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</si>
  <si>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</si>
  <si>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</si>
  <si>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</si>
  <si>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</si>
  <si>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</si>
  <si>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</si>
  <si>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</si>
  <si>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</si>
  <si>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</si>
  <si>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</si>
  <si>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</si>
  <si>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</si>
  <si>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</si>
  <si>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</si>
  <si>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</si>
  <si>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</si>
  <si>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</si>
  <si>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</si>
  <si>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</si>
  <si>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</si>
  <si>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</si>
  <si>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</si>
  <si>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</si>
  <si>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</si>
  <si>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</si>
  <si>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</si>
  <si>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</si>
  <si>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</si>
  <si>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</si>
  <si>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</si>
  <si>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</si>
  <si>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</si>
  <si>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</si>
  <si>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</si>
  <si>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</si>
  <si>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</si>
  <si>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</si>
  <si>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</si>
  <si>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</si>
  <si>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</si>
  <si>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</si>
  <si>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</si>
  <si>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</si>
  <si>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</si>
  <si>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</si>
  <si>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</si>
  <si>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</si>
  <si>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</si>
  <si>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</si>
  <si>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</si>
  <si>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</si>
  <si>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</si>
  <si>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</si>
  <si>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</si>
  <si>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</si>
  <si>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</si>
  <si>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</si>
  <si>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</si>
  <si>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</si>
  <si>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</si>
  <si>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</si>
  <si>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</si>
  <si>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</si>
  <si>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</si>
  <si>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</si>
  <si>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</si>
  <si>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</si>
  <si>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</si>
  <si>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</si>
  <si>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</si>
  <si>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</si>
  <si>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</si>
  <si>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</si>
  <si>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</si>
  <si>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</si>
  <si>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</si>
  <si>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</si>
  <si>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</si>
  <si>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</si>
  <si>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</si>
  <si>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</si>
  <si>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</si>
  <si>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</si>
  <si>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</si>
  <si>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</si>
  <si>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</si>
  <si>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</si>
  <si>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</si>
  <si>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</si>
  <si>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</si>
  <si>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</si>
  <si>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</si>
  <si>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</si>
  <si>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</si>
  <si>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</si>
  <si>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</si>
  <si>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</si>
  <si>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</si>
  <si>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</si>
  <si>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</si>
  <si>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</si>
  <si>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</si>
  <si>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</si>
  <si>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</si>
  <si>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</si>
  <si>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</si>
  <si>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</si>
  <si>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</si>
  <si>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</si>
  <si>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</si>
  <si>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</si>
  <si>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</si>
  <si>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</si>
  <si>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</si>
  <si>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</si>
  <si>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</si>
  <si>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</si>
  <si>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</si>
  <si>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</si>
  <si>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</si>
  <si>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</si>
  <si>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</si>
  <si>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</si>
  <si>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</si>
  <si>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</si>
  <si>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</si>
  <si>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</si>
  <si>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</si>
  <si>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</si>
  <si>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</si>
  <si>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</si>
  <si>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</si>
  <si>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</si>
  <si>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</si>
  <si>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</si>
  <si>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</si>
  <si>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</si>
  <si>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</si>
  <si>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</si>
  <si>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</si>
  <si>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</si>
  <si>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</si>
  <si>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</si>
  <si>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</si>
  <si>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</si>
  <si>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</si>
  <si>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</si>
  <si>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</si>
  <si>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</si>
  <si>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</si>
  <si>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</si>
  <si>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</si>
  <si>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</si>
  <si>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</si>
  <si>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</si>
  <si>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</si>
  <si>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</si>
  <si>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</si>
  <si>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</si>
  <si>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</si>
  <si>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</si>
  <si>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</si>
  <si>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</si>
  <si>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</si>
  <si>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</si>
  <si>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</si>
  <si>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</si>
  <si>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</si>
  <si>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</si>
  <si>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</si>
  <si>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</si>
  <si>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</si>
  <si>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</si>
  <si>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</si>
  <si>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</si>
  <si>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</si>
  <si>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</si>
  <si>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</si>
  <si>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</si>
  <si>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</si>
  <si>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</si>
  <si>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</si>
  <si>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</si>
  <si>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</si>
  <si>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</si>
  <si>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</si>
  <si>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</si>
  <si>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</si>
  <si>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</si>
  <si>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</si>
  <si>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</si>
  <si>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</si>
  <si>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</si>
  <si>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</si>
  <si>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</si>
  <si>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</si>
  <si>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</si>
  <si>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</si>
  <si>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</si>
  <si>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</si>
  <si>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</si>
  <si>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</si>
  <si>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</si>
  <si>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</si>
  <si>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</si>
  <si>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</si>
  <si>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</si>
  <si>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</si>
  <si>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</si>
  <si>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</si>
  <si>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</si>
  <si>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</si>
  <si>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</si>
  <si>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</si>
  <si>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</si>
  <si>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</si>
  <si>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</si>
  <si>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</si>
  <si>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</si>
  <si>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</si>
  <si>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</si>
  <si>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</si>
  <si>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</si>
  <si>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</si>
  <si>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</si>
  <si>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</si>
  <si>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</si>
  <si>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</si>
  <si>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</si>
  <si>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</si>
  <si>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</si>
  <si>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</si>
  <si>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</si>
  <si>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</si>
  <si>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</si>
  <si>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</si>
  <si>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</si>
  <si>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</si>
  <si>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</si>
  <si>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</si>
  <si>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</si>
  <si>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</si>
  <si>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</si>
  <si>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</si>
  <si>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</si>
  <si>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</si>
  <si>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</si>
  <si>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</si>
  <si>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</si>
  <si>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</si>
  <si>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</si>
  <si>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</si>
  <si>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</si>
  <si>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</si>
  <si>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</si>
  <si>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</si>
  <si>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</si>
  <si>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</si>
  <si>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</si>
  <si>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</si>
  <si>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</si>
  <si>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</si>
  <si>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</si>
  <si>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</si>
  <si>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</si>
  <si>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</si>
  <si>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</si>
  <si>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</si>
  <si>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</si>
  <si>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</si>
  <si>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</si>
  <si>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</si>
  <si>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</si>
  <si>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</si>
  <si>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</si>
  <si>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</si>
  <si>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</si>
  <si>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</si>
  <si>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</si>
  <si>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</si>
  <si>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</si>
  <si>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</si>
  <si>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</si>
  <si>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</si>
  <si>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</si>
  <si>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</si>
  <si>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</si>
  <si>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</si>
  <si>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</si>
  <si>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</si>
  <si>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</si>
  <si>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</si>
  <si>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</si>
  <si>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</si>
  <si>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</si>
  <si>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</si>
  <si>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</si>
  <si>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</si>
  <si>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</si>
  <si>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</si>
  <si>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</si>
  <si>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</si>
  <si>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</si>
  <si>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</si>
  <si>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</si>
  <si>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</si>
  <si>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</si>
  <si>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</si>
  <si>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</si>
  <si>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</si>
  <si>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</si>
  <si>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</si>
  <si>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</si>
  <si>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</si>
  <si>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</si>
  <si>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</si>
  <si>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</si>
  <si>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</si>
  <si>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</si>
  <si>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</si>
  <si>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</si>
  <si>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</si>
  <si>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</si>
  <si>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</si>
  <si>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</si>
  <si>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</si>
  <si>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</si>
  <si>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</si>
  <si>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</si>
  <si>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</si>
  <si>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</si>
  <si>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</si>
  <si>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</si>
  <si>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</si>
  <si>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</si>
  <si>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</si>
  <si>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</si>
  <si>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</si>
  <si>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</si>
  <si>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</si>
  <si>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</si>
  <si>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</si>
  <si>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</si>
  <si>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</si>
  <si>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</si>
  <si>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</si>
  <si>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</si>
  <si>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</si>
  <si>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</si>
  <si>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</si>
  <si>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</si>
  <si>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</si>
  <si>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</si>
  <si>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</si>
  <si>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</si>
  <si>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</si>
  <si>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</si>
  <si>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</si>
  <si>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</si>
  <si>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</si>
  <si>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</si>
  <si>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</si>
  <si>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</si>
  <si>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</si>
  <si>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</si>
  <si>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</si>
  <si>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</si>
  <si>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</si>
  <si>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</si>
  <si>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</si>
  <si>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</si>
  <si>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</si>
  <si>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</si>
  <si>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</si>
  <si>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</si>
  <si>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</si>
  <si>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</si>
  <si>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</si>
  <si>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</si>
  <si>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</si>
  <si>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</si>
  <si>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</si>
  <si>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</si>
  <si>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</si>
  <si>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</si>
  <si>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</si>
  <si>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</si>
  <si>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</si>
  <si>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</si>
  <si>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</si>
  <si>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</si>
  <si>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</si>
  <si>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</si>
  <si>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</si>
  <si>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</si>
  <si>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</si>
  <si>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</si>
  <si>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</si>
  <si>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</si>
  <si>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</si>
  <si>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</si>
  <si>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</si>
  <si>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</si>
  <si>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</si>
  <si>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</si>
  <si>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</si>
  <si>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</si>
  <si>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</si>
  <si>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</si>
  <si>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</si>
  <si>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</si>
  <si>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</si>
  <si>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</si>
  <si>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</si>
  <si>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</si>
  <si>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</si>
  <si>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</si>
  <si>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</si>
  <si>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</si>
  <si>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</si>
  <si>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</si>
  <si>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</si>
  <si>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</si>
  <si>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</si>
  <si>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</si>
  <si>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</si>
  <si>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</si>
  <si>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</si>
  <si>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</si>
  <si>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</si>
  <si>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</si>
  <si>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</si>
  <si>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</si>
  <si>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</si>
  <si>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</si>
  <si>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</si>
  <si>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</si>
  <si>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</si>
  <si>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</si>
  <si>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</si>
  <si>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</si>
  <si>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</si>
  <si>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</si>
  <si>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</si>
  <si>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</si>
  <si>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</si>
  <si>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</si>
  <si>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</si>
  <si>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</si>
  <si>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</si>
  <si>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</si>
  <si>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</si>
  <si>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</si>
  <si>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</si>
  <si>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</si>
  <si>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</si>
  <si>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</si>
  <si>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</si>
  <si>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</si>
  <si>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</si>
  <si>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</si>
  <si>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</si>
  <si>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</si>
  <si>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</si>
  <si>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</si>
  <si>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</si>
  <si>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</si>
  <si>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</si>
  <si>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</si>
  <si>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</si>
  <si>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</si>
  <si>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</si>
  <si>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</si>
  <si>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</si>
  <si>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</si>
  <si>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</si>
  <si>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</si>
  <si>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</si>
  <si>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</si>
  <si>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</si>
  <si>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</si>
  <si>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</si>
  <si>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</si>
  <si>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</si>
  <si>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</si>
  <si>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</si>
  <si>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</si>
  <si>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</si>
  <si>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</si>
  <si>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</si>
  <si>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</si>
  <si>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</si>
  <si>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</si>
  <si>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</si>
  <si>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</si>
  <si>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</si>
  <si>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</si>
  <si>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</si>
  <si>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</si>
  <si>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</si>
  <si>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</si>
  <si>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</si>
  <si>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</si>
  <si>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</si>
  <si>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</si>
  <si>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</si>
  <si>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</si>
  <si>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</si>
  <si>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</si>
  <si>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</si>
  <si>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</si>
  <si>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</si>
  <si>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</si>
  <si>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</si>
  <si>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</si>
  <si>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</si>
  <si>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</si>
  <si>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</si>
  <si>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</si>
  <si>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</si>
  <si>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</si>
  <si>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</si>
  <si>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</si>
  <si>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</si>
  <si>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</si>
  <si>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</si>
  <si>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</si>
  <si>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</si>
  <si>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</si>
  <si>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</si>
  <si>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</si>
  <si>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</si>
  <si>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</si>
  <si>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</si>
  <si>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</si>
  <si>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</si>
  <si>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</si>
  <si>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</si>
  <si>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</si>
  <si>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</si>
  <si>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</si>
  <si>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</si>
  <si>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</si>
  <si>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</si>
  <si>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</si>
  <si>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</si>
  <si>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</si>
  <si>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</si>
  <si>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</si>
  <si>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</si>
  <si>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</si>
  <si>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</si>
  <si>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</si>
  <si>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</si>
  <si>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</si>
  <si>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</si>
  <si>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</si>
  <si>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</si>
  <si>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</si>
  <si>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</si>
  <si>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</si>
  <si>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</si>
  <si>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</si>
  <si>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</si>
  <si>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</si>
  <si>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</si>
  <si>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</si>
  <si>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</si>
  <si>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</si>
  <si>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</si>
  <si>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</si>
  <si>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</si>
  <si>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</si>
  <si>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</si>
  <si>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</si>
  <si>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</si>
  <si>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</si>
  <si>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</si>
  <si>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</si>
  <si>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</si>
  <si>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</si>
  <si>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</si>
  <si>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</si>
  <si>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</si>
  <si>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</si>
  <si>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</si>
  <si>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</si>
  <si>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</si>
  <si>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</si>
  <si>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</si>
  <si>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</si>
  <si>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</si>
  <si>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</si>
  <si>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</si>
  <si>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</si>
  <si>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</si>
  <si>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</si>
  <si>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</si>
  <si>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</si>
  <si>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</si>
  <si>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</si>
  <si>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</si>
  <si>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</si>
  <si>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</si>
  <si>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</si>
  <si>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</si>
  <si>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</si>
  <si>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</si>
  <si>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</si>
  <si>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</si>
  <si>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</si>
  <si>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</si>
  <si>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</si>
  <si>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</si>
  <si>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</si>
  <si>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</si>
  <si>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</si>
  <si>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</si>
  <si>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</si>
  <si>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</si>
  <si>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</si>
  <si>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</si>
  <si>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</si>
  <si>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</si>
  <si>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</si>
  <si>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</si>
  <si>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</si>
  <si>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</si>
  <si>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</si>
  <si>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</si>
  <si>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</si>
  <si>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</si>
  <si>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</si>
  <si>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</si>
  <si>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</si>
  <si>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</si>
  <si>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</si>
  <si>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</si>
  <si>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</si>
  <si>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</si>
  <si>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</si>
  <si>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</si>
  <si>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</si>
  <si>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</si>
  <si>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</si>
  <si>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</si>
  <si>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</si>
  <si>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</si>
  <si>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</si>
  <si>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</si>
  <si>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</si>
  <si>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</si>
  <si>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</si>
  <si>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</si>
  <si>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</si>
  <si>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</si>
  <si>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</si>
  <si>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</si>
  <si>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</si>
  <si>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</si>
  <si>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</si>
  <si>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</si>
  <si>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</si>
  <si>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</si>
  <si>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</si>
  <si>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</si>
  <si>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</si>
  <si>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</si>
  <si>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</si>
  <si>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</si>
  <si>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</si>
  <si>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</si>
  <si>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</si>
  <si>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</si>
  <si>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</si>
  <si>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</si>
  <si>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</si>
  <si>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</si>
  <si>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</si>
  <si>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</si>
  <si>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</si>
  <si>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</si>
  <si>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</si>
  <si>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</si>
  <si>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</si>
  <si>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</si>
  <si>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</si>
  <si>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</si>
  <si>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</si>
  <si>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</si>
  <si>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</si>
  <si>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</si>
  <si>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</si>
  <si>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</si>
  <si>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</si>
  <si>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</si>
  <si>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</si>
  <si>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</si>
  <si>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</si>
  <si>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</si>
  <si>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</si>
  <si>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</si>
  <si>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</si>
  <si>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</si>
  <si>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</si>
  <si>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</si>
  <si>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</si>
  <si>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</si>
  <si>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</si>
  <si>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</si>
  <si>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</si>
  <si>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</si>
  <si>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</si>
  <si>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</si>
  <si>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</si>
  <si>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</si>
  <si>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</si>
  <si>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</si>
  <si>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</si>
  <si>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</si>
  <si>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</si>
  <si>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</si>
  <si>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</si>
  <si>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</si>
  <si>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</si>
  <si>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</si>
  <si>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</si>
  <si>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</si>
  <si>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</si>
  <si>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</si>
  <si>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</si>
  <si>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</si>
  <si>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</si>
  <si>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</si>
  <si>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</si>
  <si>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</si>
  <si>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</si>
  <si>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</si>
  <si>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</si>
  <si>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</si>
  <si>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</si>
  <si>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</si>
  <si>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</si>
  <si>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</si>
  <si>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</si>
  <si>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</si>
  <si>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</si>
  <si>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</si>
  <si>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</si>
  <si>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</si>
  <si>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</si>
  <si>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</si>
  <si>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</si>
  <si>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</si>
  <si>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</si>
  <si>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</si>
  <si>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</si>
  <si>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</si>
  <si>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</si>
  <si>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</si>
  <si>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</si>
  <si>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</si>
  <si>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</si>
  <si>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</si>
  <si>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</si>
  <si>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</si>
  <si>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</si>
  <si>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</si>
  <si>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</si>
  <si>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</si>
  <si>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</si>
  <si>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</si>
  <si>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</si>
  <si>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</si>
  <si>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</si>
  <si>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</si>
  <si>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</si>
  <si>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</si>
  <si>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</si>
  <si>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</si>
  <si>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</si>
  <si>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</si>
  <si>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</si>
  <si>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</si>
  <si>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</si>
  <si>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</si>
  <si>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</si>
  <si>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</si>
  <si>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</si>
  <si>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</si>
  <si>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</si>
  <si>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</si>
  <si>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</si>
  <si>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</si>
  <si>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</si>
  <si>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</si>
  <si>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</si>
  <si>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</si>
  <si>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</si>
  <si>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</si>
  <si>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</si>
  <si>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</si>
  <si>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</si>
  <si>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</si>
  <si>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</si>
  <si>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</si>
  <si>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</si>
  <si>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</si>
  <si>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</si>
  <si>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</si>
  <si>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</si>
  <si>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</si>
  <si>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</si>
  <si>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</si>
  <si>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</si>
  <si>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</si>
  <si>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</si>
  <si>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</si>
  <si>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</si>
  <si>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</si>
  <si>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</si>
  <si>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</si>
  <si>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</si>
  <si>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</si>
  <si>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</si>
  <si>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</si>
  <si>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</si>
  <si>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</si>
  <si>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</si>
  <si>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</si>
  <si>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</si>
  <si>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</si>
  <si>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</si>
  <si>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</si>
  <si>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</si>
  <si>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</si>
  <si>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</si>
  <si>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</si>
  <si>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</si>
  <si>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</si>
  <si>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</si>
  <si>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</si>
  <si>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</si>
  <si>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</si>
  <si>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</si>
  <si>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</si>
  <si>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</si>
  <si>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</si>
  <si>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</si>
  <si>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</si>
  <si>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</si>
  <si>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</si>
  <si>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</si>
  <si>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</si>
  <si>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</si>
  <si>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</si>
  <si>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</si>
  <si>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</si>
  <si>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</si>
  <si>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</si>
  <si>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</si>
  <si>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</si>
  <si>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</si>
  <si>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</si>
  <si>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</si>
  <si>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</si>
  <si>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</si>
  <si>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</si>
  <si>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</si>
  <si>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</si>
  <si>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</si>
  <si>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</si>
  <si>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</si>
  <si>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</si>
  <si>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</si>
  <si>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</si>
  <si>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</si>
  <si>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</si>
  <si>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</si>
  <si>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</si>
  <si>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</si>
  <si>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</si>
  <si>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</si>
  <si>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</si>
  <si>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</si>
  <si>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</si>
  <si>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</si>
  <si>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</si>
  <si>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</si>
  <si>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</si>
  <si>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</si>
  <si>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</si>
  <si>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</si>
  <si>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</si>
  <si>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</si>
  <si>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</si>
  <si>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</si>
  <si>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</si>
  <si>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</si>
  <si>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</si>
  <si>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</si>
  <si>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</si>
  <si>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</si>
  <si>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</si>
  <si>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</si>
  <si>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</si>
  <si>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</si>
  <si>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</si>
  <si>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</si>
  <si>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</si>
  <si>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</si>
  <si>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</si>
  <si>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</si>
  <si>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</si>
  <si>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</si>
  <si>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</si>
  <si>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</si>
  <si>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</si>
  <si>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</si>
  <si>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</si>
  <si>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</si>
  <si>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</si>
  <si>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</si>
  <si>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</si>
  <si>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</si>
  <si>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</si>
  <si>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</si>
  <si>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</si>
  <si>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</si>
  <si>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</si>
  <si>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</si>
  <si>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</si>
  <si>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</si>
  <si>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</si>
  <si>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</si>
  <si>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</si>
  <si>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</si>
  <si>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</si>
  <si>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</si>
  <si>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</si>
  <si>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</si>
  <si>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</si>
  <si>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</si>
  <si>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</si>
  <si>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</si>
  <si>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</si>
  <si>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</si>
  <si>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</si>
  <si>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</si>
  <si>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</si>
  <si>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</si>
  <si>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</si>
  <si>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</si>
  <si>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</si>
  <si>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</si>
  <si>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</si>
  <si>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</si>
  <si>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</si>
  <si>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</si>
  <si>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</si>
  <si>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</si>
  <si>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</si>
  <si>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</si>
  <si>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</si>
  <si>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</si>
  <si>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</si>
  <si>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</si>
  <si>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</si>
  <si>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</si>
  <si>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</si>
  <si>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</si>
  <si>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</si>
  <si>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</si>
  <si>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</si>
  <si>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</si>
  <si>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</si>
  <si>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</si>
  <si>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</si>
  <si>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</si>
  <si>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</si>
  <si>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</si>
  <si>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</si>
  <si>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</si>
  <si>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</si>
  <si>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</si>
  <si>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</si>
  <si>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</si>
  <si>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</si>
  <si>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</si>
  <si>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</si>
  <si>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</si>
  <si>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</si>
  <si>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</si>
  <si>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</si>
  <si>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</si>
  <si>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</si>
  <si>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</si>
  <si>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</si>
  <si>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</si>
  <si>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</si>
  <si>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</si>
  <si>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</si>
  <si>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</si>
  <si>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</si>
  <si>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</si>
  <si>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</si>
  <si>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</si>
  <si>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</si>
  <si>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</si>
  <si>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</si>
  <si>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</si>
  <si>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</si>
  <si>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</si>
  <si>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</si>
  <si>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</si>
  <si>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</si>
  <si>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</si>
  <si>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</si>
  <si>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</si>
  <si>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</si>
  <si>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</si>
  <si>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</si>
  <si>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</si>
  <si>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</si>
  <si>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</si>
  <si>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</si>
  <si>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</si>
  <si>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</si>
  <si>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</si>
  <si>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</si>
  <si>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</si>
  <si>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</si>
  <si>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</si>
  <si>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</si>
  <si>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</si>
  <si>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</si>
  <si>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</si>
  <si>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</si>
  <si>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</si>
  <si>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</si>
  <si>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</si>
  <si>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</si>
  <si>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</si>
  <si>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</si>
  <si>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</si>
  <si>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</si>
  <si>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</si>
  <si>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</si>
  <si>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</si>
  <si>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</si>
  <si>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</si>
  <si>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</si>
  <si>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</si>
  <si>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</si>
  <si>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</si>
  <si>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</si>
  <si>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</si>
  <si>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</si>
  <si>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</si>
  <si>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</si>
  <si>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</si>
  <si>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</si>
  <si>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</si>
  <si>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</si>
  <si>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</si>
  <si>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</si>
  <si>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</si>
  <si>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</si>
  <si>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</si>
  <si>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</si>
  <si>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</si>
  <si>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</si>
  <si>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</si>
  <si>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</si>
  <si>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</si>
  <si>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</si>
  <si>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</si>
  <si>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</si>
  <si>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</si>
  <si>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</si>
  <si>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</si>
  <si>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</si>
  <si>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</si>
  <si>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</si>
  <si>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</si>
  <si>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</si>
  <si>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</si>
  <si>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</si>
  <si>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</si>
  <si>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</si>
  <si>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</si>
  <si>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</si>
  <si>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</si>
  <si>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</si>
  <si>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</si>
  <si>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</si>
  <si>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</si>
  <si>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</si>
  <si>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</si>
  <si>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</si>
  <si>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</si>
  <si>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</si>
  <si>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</si>
  <si>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</si>
  <si>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</si>
  <si>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</si>
  <si>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</si>
  <si>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</si>
  <si>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</si>
  <si>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</si>
  <si>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</si>
  <si>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</si>
  <si>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</si>
  <si>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</si>
  <si>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</si>
  <si>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</si>
  <si>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</si>
  <si>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</si>
  <si>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</si>
  <si>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</si>
  <si>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</si>
  <si>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</si>
  <si>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</si>
  <si>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</si>
  <si>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</si>
  <si>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</si>
  <si>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</si>
  <si>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</si>
  <si>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</si>
  <si>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</si>
  <si>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</si>
  <si>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</si>
  <si>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</si>
  <si>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</si>
  <si>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</si>
  <si>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</si>
  <si>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</si>
  <si>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</si>
  <si>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</si>
  <si>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</si>
  <si>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</si>
  <si>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</si>
  <si>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</si>
  <si>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</si>
  <si>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</si>
  <si>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</si>
  <si>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</si>
  <si>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</si>
  <si>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</si>
  <si>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</si>
  <si>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</si>
  <si>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</si>
  <si>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</si>
  <si>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</si>
  <si>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</si>
  <si>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</si>
  <si>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</si>
  <si>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</si>
  <si>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</si>
  <si>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</si>
  <si>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</si>
  <si>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</si>
  <si>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</si>
  <si>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</si>
  <si>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</si>
  <si>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</si>
  <si>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</si>
  <si>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</si>
  <si>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</si>
  <si>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</si>
  <si>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</si>
  <si>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</si>
  <si>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</si>
  <si>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</si>
  <si>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</si>
  <si>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</si>
  <si>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</si>
  <si>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</si>
  <si>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</si>
  <si>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</si>
  <si>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</si>
  <si>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</si>
  <si>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</si>
  <si>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</si>
  <si>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</si>
  <si>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</si>
  <si>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</si>
  <si>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</si>
  <si>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</si>
  <si>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</si>
  <si>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</si>
  <si>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</si>
  <si>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</si>
  <si>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</si>
  <si>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</si>
  <si>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</si>
  <si>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</si>
  <si>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</si>
  <si>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</si>
  <si>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</si>
  <si>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</si>
  <si>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</si>
  <si>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</si>
  <si>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</si>
  <si>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</si>
  <si>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</si>
  <si>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</si>
  <si>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</si>
  <si>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</si>
  <si>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</si>
  <si>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</si>
  <si>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</si>
  <si>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</si>
  <si>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</si>
  <si>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</si>
  <si>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</si>
  <si>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</si>
  <si>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</si>
  <si>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</si>
  <si>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</si>
  <si>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</si>
  <si>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</si>
  <si>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</si>
  <si>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</si>
  <si>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</si>
  <si>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</si>
  <si>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</si>
  <si>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</si>
  <si>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</si>
  <si>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</si>
  <si>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</si>
  <si>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</si>
  <si>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</si>
  <si>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</si>
  <si>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</si>
  <si>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</si>
  <si>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</si>
  <si>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</si>
  <si>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</si>
  <si>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</si>
  <si>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</si>
  <si>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</si>
  <si>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</si>
  <si>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</si>
  <si>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</si>
  <si>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</si>
  <si>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</si>
  <si>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</si>
  <si>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</si>
  <si>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</si>
  <si>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</si>
  <si>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</si>
  <si>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</si>
  <si>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</si>
  <si>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</si>
  <si>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</si>
  <si>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</si>
  <si>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</si>
  <si>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</si>
  <si>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</si>
  <si>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</si>
  <si>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</si>
  <si>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</si>
  <si>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</si>
  <si>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</si>
  <si>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</si>
  <si>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</si>
  <si>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</si>
  <si>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</si>
  <si>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</si>
  <si>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</si>
  <si>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</si>
  <si>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</si>
  <si>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</si>
  <si>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</si>
  <si>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</si>
  <si>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</si>
  <si>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</si>
  <si>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</si>
  <si>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</si>
  <si>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</si>
  <si>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</si>
  <si>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</si>
  <si>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</si>
  <si>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</si>
  <si>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</si>
  <si>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</si>
  <si>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</si>
  <si>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</si>
  <si>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</si>
  <si>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</si>
  <si>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</si>
  <si>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</si>
  <si>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</si>
  <si>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</si>
  <si>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</si>
  <si>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</si>
  <si>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</si>
  <si>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</si>
  <si>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</si>
  <si>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</si>
  <si>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</si>
  <si>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</si>
  <si>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</si>
  <si>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</si>
  <si>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</si>
  <si>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</si>
  <si>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</si>
  <si>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</si>
  <si>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</si>
  <si>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</si>
  <si>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</si>
  <si>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</si>
  <si>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</si>
  <si>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</si>
  <si>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</si>
  <si>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</si>
  <si>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</si>
  <si>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</si>
  <si>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</si>
  <si>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</si>
  <si>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</si>
  <si>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</si>
  <si>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</si>
  <si>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</si>
  <si>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</si>
  <si>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</si>
  <si>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</si>
  <si>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</si>
  <si>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</si>
  <si>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</si>
  <si>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</si>
  <si>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</si>
  <si>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</si>
  <si>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</si>
  <si>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</si>
  <si>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</si>
  <si>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</si>
  <si>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</si>
  <si>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</si>
  <si>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</si>
  <si>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</si>
  <si>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</si>
  <si>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</si>
  <si>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</si>
  <si>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</si>
  <si>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</si>
  <si>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</si>
  <si>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</si>
  <si>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</si>
  <si>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</si>
  <si>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</si>
  <si>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</si>
  <si>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</si>
  <si>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</si>
  <si>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</si>
  <si>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</si>
  <si>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</si>
  <si>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</si>
  <si>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</si>
  <si>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</si>
  <si>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</si>
  <si>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</si>
  <si>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</si>
  <si>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</si>
  <si>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</si>
  <si>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</si>
  <si>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</si>
  <si>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</si>
  <si>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</si>
  <si>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</si>
  <si>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</si>
  <si>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</si>
  <si>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</si>
  <si>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</si>
  <si>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</si>
  <si>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</si>
  <si>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</si>
  <si>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</si>
  <si>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</si>
  <si>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</si>
  <si>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</si>
  <si>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</si>
  <si>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</si>
  <si>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</si>
  <si>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</si>
  <si>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</si>
  <si>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</si>
  <si>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</si>
  <si>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</si>
  <si>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</si>
  <si>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</si>
  <si>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</si>
  <si>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</si>
  <si>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</si>
  <si>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</si>
  <si>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</si>
  <si>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</si>
  <si>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</si>
  <si>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</si>
  <si>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</si>
  <si>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</si>
  <si>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</si>
  <si>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</si>
  <si>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</si>
  <si>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</si>
  <si>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</si>
  <si>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</si>
  <si>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</si>
  <si>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</si>
  <si>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</si>
  <si>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</si>
  <si>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</si>
  <si>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</si>
  <si>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</si>
  <si>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</si>
  <si>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</si>
  <si>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</si>
  <si>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</si>
  <si>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</si>
  <si>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</si>
  <si>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</si>
  <si>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</si>
  <si>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</si>
  <si>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</si>
  <si>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</si>
  <si>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</si>
  <si>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</si>
  <si>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</si>
  <si>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</si>
  <si>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</si>
  <si>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</si>
  <si>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</si>
  <si>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</si>
  <si>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</si>
  <si>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</si>
  <si>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</si>
  <si>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</si>
  <si>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</si>
  <si>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</si>
  <si>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</si>
  <si>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</si>
  <si>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</si>
  <si>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</si>
  <si>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</si>
  <si>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</si>
  <si>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</si>
  <si>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</si>
  <si>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</si>
  <si>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</si>
  <si>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</si>
  <si>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</si>
  <si>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</si>
  <si>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</si>
  <si>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</si>
  <si>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</si>
  <si>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</si>
  <si>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</si>
  <si>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</si>
  <si>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</si>
  <si>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</si>
  <si>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</si>
  <si>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</si>
  <si>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</si>
  <si>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</si>
  <si>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</si>
  <si>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</si>
  <si>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</si>
  <si>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</si>
  <si>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</si>
  <si>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</si>
  <si>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</si>
  <si>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</si>
  <si>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</si>
  <si>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</si>
  <si>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</si>
  <si>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</si>
  <si>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</si>
  <si>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</si>
  <si>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</si>
  <si>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</si>
  <si>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</si>
  <si>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</si>
  <si>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</si>
  <si>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</si>
  <si>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</si>
  <si>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</si>
  <si>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</si>
  <si>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</si>
  <si>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</si>
  <si>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</si>
  <si>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</si>
  <si>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</si>
  <si>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</si>
  <si>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</si>
  <si>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</si>
  <si>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</si>
  <si>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</si>
  <si>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</si>
  <si>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</si>
  <si>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</si>
  <si>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</si>
  <si>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</si>
  <si>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</si>
  <si>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</si>
  <si>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</si>
  <si>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</si>
  <si>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</si>
  <si>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</si>
  <si>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</si>
  <si>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</si>
  <si>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</si>
  <si>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</si>
  <si>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</si>
  <si>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</si>
  <si>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</si>
  <si>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</si>
  <si>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</si>
  <si>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</si>
  <si>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</si>
  <si>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</si>
  <si>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</si>
  <si>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</si>
  <si>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</si>
  <si>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</si>
  <si>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</si>
  <si>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</si>
  <si>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</si>
  <si>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</si>
  <si>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</si>
  <si>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</si>
  <si>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</si>
  <si>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</si>
  <si>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</si>
  <si>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</si>
  <si>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</si>
  <si>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</si>
  <si>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</si>
  <si>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</si>
  <si>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</si>
  <si>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</si>
  <si>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</si>
  <si>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</si>
  <si>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</si>
  <si>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</si>
  <si>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</si>
  <si>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</si>
  <si>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</si>
  <si>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</si>
  <si>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</si>
  <si>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</si>
  <si>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</si>
  <si>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</si>
  <si>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</si>
  <si>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</si>
  <si>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</si>
  <si>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</si>
  <si>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</si>
  <si>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</si>
  <si>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</si>
  <si>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</si>
  <si>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</si>
  <si>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</si>
  <si>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</si>
  <si>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</si>
  <si>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</si>
  <si>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</si>
  <si>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</si>
  <si>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</si>
  <si>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</si>
  <si>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</si>
  <si>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</si>
  <si>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</si>
  <si>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</si>
  <si>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</si>
  <si>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</si>
  <si>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</si>
  <si>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</si>
  <si>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</si>
  <si>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</si>
  <si>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</si>
  <si>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</si>
  <si>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</si>
  <si>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</si>
  <si>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</si>
  <si>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</si>
  <si>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</si>
  <si>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</si>
  <si>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</si>
  <si>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</si>
  <si>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</si>
  <si>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</si>
  <si>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</si>
  <si>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</si>
  <si>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</si>
  <si>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</si>
  <si>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</si>
  <si>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</si>
  <si>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</si>
  <si>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</si>
  <si>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</si>
  <si>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</si>
  <si>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</si>
  <si>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</si>
  <si>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</si>
  <si>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</si>
  <si>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</si>
  <si>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</si>
  <si>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</si>
  <si>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</si>
  <si>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</si>
  <si>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</si>
  <si>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</si>
  <si>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</si>
  <si>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</si>
  <si>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</si>
  <si>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</si>
  <si>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</si>
  <si>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</si>
  <si>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</si>
  <si>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</si>
  <si>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</si>
  <si>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</si>
  <si>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</si>
  <si>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</si>
  <si>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</si>
  <si>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</si>
  <si>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</si>
  <si>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</si>
  <si>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</si>
  <si>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</si>
  <si>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</si>
  <si>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</si>
  <si>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</si>
  <si>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</si>
  <si>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</si>
  <si>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</si>
  <si>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</si>
  <si>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</si>
  <si>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</si>
  <si>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</si>
  <si>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</si>
  <si>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</si>
  <si>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</si>
  <si>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</si>
  <si>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</si>
  <si>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</si>
  <si>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</si>
  <si>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</si>
  <si>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</si>
  <si>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</si>
  <si>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</si>
  <si>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</si>
  <si>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</si>
  <si>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</si>
  <si>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</si>
  <si>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</si>
  <si>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</si>
  <si>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</si>
  <si>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</si>
  <si>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</si>
  <si>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</si>
  <si>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</si>
  <si>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</si>
  <si>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</si>
  <si>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</si>
  <si>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</si>
  <si>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</si>
  <si>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</si>
  <si>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</si>
  <si>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</si>
  <si>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</si>
  <si>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</si>
  <si>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</si>
  <si>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</si>
  <si>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</si>
  <si>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</si>
  <si>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</si>
  <si>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</si>
  <si>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</si>
  <si>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</si>
  <si>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</si>
  <si>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</si>
  <si>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</si>
  <si>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</si>
  <si>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</si>
  <si>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</si>
  <si>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</si>
  <si>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</si>
  <si>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</si>
  <si>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</si>
  <si>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</si>
  <si>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</si>
  <si>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</si>
  <si>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</si>
  <si>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</si>
  <si>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</si>
  <si>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</si>
  <si>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</si>
  <si>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</si>
  <si>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</si>
  <si>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</si>
  <si>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</si>
  <si>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</si>
  <si>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</si>
  <si>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</si>
  <si>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</si>
  <si>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</si>
  <si>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</si>
  <si>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</si>
  <si>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</si>
  <si>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</si>
  <si>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</si>
  <si>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</si>
  <si>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</si>
  <si>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</si>
  <si>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</si>
  <si>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</si>
  <si>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</si>
  <si>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</si>
  <si>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</si>
  <si>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</si>
  <si>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</si>
  <si>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</si>
  <si>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</si>
  <si>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</si>
  <si>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</si>
  <si>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</si>
  <si>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</si>
  <si>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</si>
  <si>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</si>
  <si>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</si>
  <si>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</si>
  <si>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</si>
  <si>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</si>
  <si>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</si>
  <si>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</si>
  <si>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</si>
  <si>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</si>
  <si>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</si>
  <si>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</si>
  <si>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</si>
  <si>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</si>
  <si>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</si>
  <si>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</si>
  <si>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</si>
  <si>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</si>
  <si>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</si>
  <si>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</si>
  <si>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</si>
  <si>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</si>
  <si>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</si>
  <si>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</si>
  <si>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</si>
  <si>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</si>
  <si>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</si>
  <si>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</si>
  <si>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</si>
  <si>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</si>
  <si>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</si>
  <si>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</si>
  <si>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</si>
  <si>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</si>
  <si>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</si>
  <si>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</si>
  <si>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</si>
  <si>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</si>
  <si>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</si>
  <si>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</si>
  <si>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</si>
  <si>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</si>
  <si>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</si>
  <si>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</si>
  <si>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</si>
  <si>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</si>
  <si>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</si>
  <si>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</si>
  <si>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</si>
  <si>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</si>
  <si>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</si>
  <si>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</si>
  <si>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</si>
  <si>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</si>
  <si>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</si>
  <si>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</si>
  <si>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</si>
  <si>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</si>
  <si>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</si>
  <si>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</si>
  <si>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</si>
  <si>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</si>
  <si>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</si>
  <si>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</si>
  <si>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</si>
  <si>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</si>
  <si>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</si>
  <si>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</si>
  <si>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</si>
  <si>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</si>
  <si>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</si>
  <si>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</si>
  <si>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</si>
  <si>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</si>
  <si>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</si>
  <si>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</si>
  <si>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</si>
  <si>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</si>
  <si>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</si>
  <si>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</si>
  <si>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</si>
  <si>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</si>
  <si>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</si>
  <si>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</si>
  <si>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</si>
  <si>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</si>
  <si>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</si>
  <si>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</si>
  <si>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</si>
  <si>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</si>
  <si>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</si>
  <si>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</si>
  <si>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</si>
  <si>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</si>
  <si>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</si>
  <si>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</si>
  <si>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</si>
  <si>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</si>
  <si>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</si>
  <si>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</si>
  <si>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</si>
  <si>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</si>
  <si>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</si>
  <si>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</si>
  <si>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</si>
  <si>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</si>
  <si>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</si>
  <si>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</si>
  <si>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</si>
  <si>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</si>
  <si>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</si>
  <si>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</si>
  <si>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</si>
  <si>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</si>
  <si>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</si>
  <si>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</si>
  <si>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</si>
  <si>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</si>
  <si>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</si>
  <si>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</si>
  <si>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</si>
  <si>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</si>
  <si>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</si>
  <si>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</si>
  <si>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</si>
  <si>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</si>
  <si>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</si>
  <si>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</si>
  <si>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</si>
  <si>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</si>
  <si>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</si>
  <si>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</si>
  <si>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</si>
  <si>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</si>
  <si>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</si>
  <si>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</si>
  <si>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</si>
  <si>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</si>
  <si>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</si>
  <si>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</si>
  <si>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</si>
  <si>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</si>
  <si>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</si>
  <si>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</si>
  <si>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</si>
  <si>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</si>
  <si>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</si>
  <si>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</si>
  <si>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</si>
  <si>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</si>
  <si>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</si>
  <si>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</si>
  <si>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</si>
  <si>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</si>
  <si>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</si>
  <si>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</si>
  <si>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</si>
  <si>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</si>
  <si>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</si>
  <si>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</si>
  <si>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</si>
  <si>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</si>
  <si>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</si>
  <si>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</si>
  <si>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</si>
  <si>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</si>
  <si>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</si>
  <si>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</si>
  <si>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</si>
  <si>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</si>
  <si>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</si>
  <si>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</si>
  <si>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</si>
  <si>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</si>
  <si>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</si>
  <si>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</si>
  <si>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</si>
  <si>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</si>
  <si>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</si>
  <si>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</si>
  <si>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</si>
  <si>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</si>
  <si>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</si>
  <si>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</si>
  <si>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</si>
  <si>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</si>
  <si>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</si>
  <si>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</si>
  <si>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</si>
  <si>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</si>
  <si>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</si>
  <si>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</si>
  <si>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</si>
  <si>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</si>
  <si>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</si>
  <si>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</si>
  <si>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</si>
  <si>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</si>
  <si>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</si>
  <si>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</si>
  <si>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</si>
  <si>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</si>
  <si>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</si>
  <si>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</si>
  <si>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</si>
  <si>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</si>
  <si>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</si>
  <si>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</si>
  <si>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</si>
  <si>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</si>
  <si>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</si>
  <si>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</si>
  <si>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</si>
  <si>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</si>
  <si>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</si>
  <si>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</si>
  <si>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</si>
  <si>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</si>
  <si>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</si>
  <si>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</si>
  <si>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</si>
  <si>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</si>
  <si>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</si>
  <si>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</si>
  <si>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</si>
  <si>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</si>
  <si>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</si>
  <si>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</si>
  <si>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</si>
  <si>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</si>
  <si>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</si>
  <si>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</si>
  <si>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</si>
  <si>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</si>
  <si>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</si>
  <si>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</si>
  <si>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</si>
  <si>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</si>
  <si>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</si>
  <si>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</si>
  <si>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</si>
  <si>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</si>
  <si>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</si>
  <si>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</si>
  <si>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</si>
  <si>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</si>
  <si>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</si>
  <si>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</si>
  <si>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</si>
  <si>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</si>
  <si>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</si>
  <si>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</si>
  <si>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</si>
  <si>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</si>
  <si>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</si>
  <si>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</si>
  <si>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</si>
  <si>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</si>
  <si>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</si>
  <si>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</si>
  <si>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</si>
  <si>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</si>
  <si>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</si>
  <si>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</si>
  <si>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</si>
  <si>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</si>
  <si>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</si>
  <si>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</si>
  <si>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</si>
  <si>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</si>
  <si>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</si>
  <si>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</si>
  <si>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</si>
  <si>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</si>
  <si>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</si>
  <si>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</si>
  <si>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</si>
  <si>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</si>
  <si>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</si>
  <si>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</si>
  <si>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</si>
  <si>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</si>
  <si>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</si>
  <si>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</si>
  <si>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</si>
  <si>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</si>
  <si>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</si>
  <si>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</si>
  <si>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</si>
  <si>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</si>
  <si>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</si>
  <si>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</si>
  <si>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</si>
  <si>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</si>
  <si>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</si>
  <si>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</si>
  <si>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</si>
  <si>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</si>
  <si>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</si>
  <si>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</si>
  <si>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</si>
  <si>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</si>
  <si>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</si>
  <si>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</si>
  <si>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</si>
  <si>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</si>
  <si>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</si>
  <si>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</si>
  <si>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</si>
  <si>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</si>
  <si>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</si>
  <si>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</si>
  <si>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</si>
  <si>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</si>
  <si>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</si>
  <si>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</si>
  <si>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</si>
  <si>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</si>
  <si>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</si>
  <si>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</si>
  <si>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</si>
  <si>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</si>
  <si>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</si>
  <si>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</si>
  <si>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</si>
  <si>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</si>
  <si>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</si>
  <si>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</si>
  <si>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</si>
  <si>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</si>
  <si>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</si>
  <si>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</si>
  <si>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</si>
  <si>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</si>
  <si>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</si>
  <si>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</si>
  <si>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</si>
  <si>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</si>
  <si>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</si>
  <si>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</si>
  <si>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</si>
  <si>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</si>
  <si>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</si>
  <si>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</si>
  <si>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</si>
  <si>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</si>
  <si>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</si>
  <si>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</si>
  <si>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</si>
  <si>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</si>
  <si>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</si>
  <si>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</si>
  <si>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</si>
  <si>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</si>
  <si>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</si>
  <si>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</si>
  <si>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</si>
  <si>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</si>
  <si>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</si>
  <si>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</si>
  <si>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</si>
  <si>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</si>
  <si>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</si>
  <si>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</si>
  <si>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</si>
  <si>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</si>
  <si>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</si>
  <si>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</si>
  <si>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</si>
  <si>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</si>
  <si>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</si>
  <si>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</si>
  <si>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</si>
  <si>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</si>
  <si>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</si>
  <si>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</si>
  <si>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</si>
  <si>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</si>
  <si>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</si>
  <si>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</si>
  <si>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</si>
  <si>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</si>
  <si>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</si>
  <si>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</si>
  <si>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</si>
  <si>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</si>
  <si>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</si>
  <si>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</si>
  <si>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</si>
  <si>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</si>
  <si>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</si>
  <si>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</si>
  <si>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</si>
  <si>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</si>
  <si>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</si>
  <si>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</si>
  <si>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</si>
  <si>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</si>
  <si>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</si>
  <si>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</si>
  <si>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</si>
  <si>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</si>
  <si>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</si>
  <si>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</si>
  <si>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</si>
  <si>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</si>
  <si>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</si>
  <si>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</si>
  <si>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</si>
  <si>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</si>
  <si>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</si>
  <si>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</si>
  <si>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</si>
  <si>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</si>
  <si>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</si>
  <si>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</si>
  <si>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</si>
  <si>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</si>
  <si>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</si>
  <si>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</si>
  <si>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</si>
  <si>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</si>
  <si>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</si>
  <si>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</si>
  <si>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</si>
  <si>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</si>
  <si>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</si>
  <si>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</si>
  <si>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</si>
  <si>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</si>
  <si>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</si>
  <si>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</si>
  <si>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</si>
  <si>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</si>
  <si>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</si>
  <si>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</si>
  <si>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</si>
  <si>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</si>
  <si>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</si>
  <si>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</si>
  <si>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</si>
  <si>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</si>
  <si>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</si>
  <si>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</si>
  <si>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</si>
  <si>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</si>
  <si>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</si>
  <si>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</si>
  <si>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</si>
  <si>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</si>
  <si>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</si>
  <si>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</si>
  <si>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</si>
  <si>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</si>
  <si>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</si>
  <si>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</si>
  <si>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</si>
  <si>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</si>
  <si>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</si>
  <si>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</si>
  <si>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</si>
  <si>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</si>
  <si>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</si>
  <si>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</si>
  <si>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</si>
  <si>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</si>
  <si>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</si>
  <si>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</si>
  <si>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</si>
  <si>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</si>
  <si>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</si>
  <si>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</si>
  <si>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</si>
  <si>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</si>
  <si>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</si>
  <si>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</si>
  <si>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</si>
  <si>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</si>
  <si>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</si>
  <si>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</si>
  <si>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</si>
  <si>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</si>
  <si>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</si>
  <si>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</si>
  <si>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</si>
  <si>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</si>
  <si>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</si>
  <si>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</si>
  <si>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</si>
  <si>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</si>
  <si>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</si>
  <si>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</si>
  <si>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</si>
  <si>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</si>
  <si>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</si>
  <si>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</si>
  <si>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</si>
  <si>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</si>
  <si>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</si>
  <si>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</si>
  <si>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</si>
  <si>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</si>
  <si>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</si>
  <si>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</si>
  <si>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</si>
  <si>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</si>
  <si>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</si>
  <si>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</si>
  <si>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</si>
  <si>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</si>
  <si>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</si>
  <si>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</si>
  <si>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</si>
  <si>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</si>
  <si>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</si>
  <si>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</si>
  <si>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</si>
  <si>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</si>
  <si>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</si>
  <si>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</si>
  <si>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</si>
  <si>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</si>
  <si>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</si>
  <si>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</si>
  <si>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</si>
  <si>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</si>
  <si>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</si>
  <si>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</si>
  <si>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</si>
  <si>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</si>
  <si>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</si>
  <si>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</si>
  <si>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</si>
  <si>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</si>
  <si>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</si>
  <si>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</si>
  <si>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</si>
  <si>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</si>
  <si>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</si>
  <si>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</si>
  <si>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</si>
  <si>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</si>
  <si>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</si>
  <si>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</si>
  <si>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</si>
  <si>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</si>
  <si>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</si>
  <si>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</si>
  <si>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</si>
  <si>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</si>
  <si>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</si>
  <si>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</si>
  <si>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</si>
  <si>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</si>
  <si>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</si>
  <si>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</si>
  <si>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</si>
  <si>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</si>
  <si>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</si>
  <si>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</si>
  <si>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</si>
  <si>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</si>
  <si>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</si>
  <si>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</si>
  <si>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</si>
  <si>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</si>
  <si>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</si>
  <si>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</si>
  <si>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</si>
  <si>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</si>
  <si>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</si>
  <si>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</si>
  <si>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</si>
  <si>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</si>
  <si>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</si>
  <si>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</si>
  <si>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</si>
  <si>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</si>
  <si>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</si>
  <si>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</si>
  <si>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</si>
  <si>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</si>
  <si>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</si>
  <si>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</si>
  <si>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</si>
  <si>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</si>
  <si>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</si>
  <si>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</si>
  <si>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</si>
  <si>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</si>
  <si>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</si>
  <si>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</si>
  <si>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</si>
  <si>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</si>
  <si>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</si>
  <si>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</si>
  <si>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</si>
  <si>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</si>
  <si>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</si>
  <si>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</si>
  <si>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</si>
  <si>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</si>
  <si>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</si>
  <si>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</si>
  <si>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</si>
  <si>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</si>
  <si>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</si>
  <si>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</si>
  <si>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</si>
  <si>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</si>
  <si>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</si>
  <si>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</si>
  <si>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</si>
  <si>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</si>
  <si>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</si>
  <si>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</si>
  <si>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</si>
  <si>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</si>
  <si>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</si>
  <si>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</si>
  <si>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</si>
  <si>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</si>
  <si>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</si>
  <si>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</si>
  <si>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</si>
  <si>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</si>
  <si>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</si>
  <si>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</si>
  <si>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</si>
  <si>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</si>
  <si>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</si>
  <si>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</si>
  <si>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</si>
  <si>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</si>
  <si>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</si>
  <si>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</si>
  <si>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</si>
  <si>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</si>
  <si>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</si>
  <si>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</si>
  <si>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</si>
  <si>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</si>
  <si>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</si>
  <si>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</si>
  <si>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</si>
  <si>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</si>
  <si>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</si>
  <si>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</si>
  <si>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</si>
  <si>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</si>
  <si>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</si>
  <si>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</si>
  <si>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</si>
  <si>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</si>
  <si>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</si>
  <si>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</si>
  <si>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</si>
  <si>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</si>
  <si>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</si>
  <si>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</si>
  <si>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</si>
  <si>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</si>
  <si>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</si>
  <si>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</si>
  <si>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</si>
  <si>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</si>
  <si>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</si>
  <si>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</si>
  <si>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</si>
  <si>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</si>
  <si>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</si>
  <si>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</si>
  <si>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</si>
  <si>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</si>
  <si>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</si>
  <si>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</si>
  <si>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</si>
  <si>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</si>
  <si>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</si>
  <si>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</si>
  <si>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</si>
  <si>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</si>
  <si>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</si>
  <si>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</si>
  <si>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</si>
  <si>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</si>
  <si>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</si>
  <si>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</si>
  <si>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</si>
  <si>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</si>
  <si>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</si>
  <si>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</si>
  <si>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</si>
  <si>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</si>
  <si>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</si>
  <si>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</si>
  <si>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</si>
  <si>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</si>
  <si>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</si>
  <si>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</si>
  <si>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</si>
  <si>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</si>
  <si>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</si>
  <si>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</si>
  <si>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</si>
  <si>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</si>
  <si>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</si>
  <si>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</si>
  <si>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</si>
  <si>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</si>
  <si>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</si>
  <si>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</si>
  <si>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</si>
  <si>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</si>
  <si>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</si>
  <si>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</si>
  <si>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</si>
  <si>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</si>
  <si>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</si>
  <si>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</si>
  <si>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</si>
  <si>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</si>
  <si>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</si>
  <si>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</si>
  <si>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</si>
  <si>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</si>
  <si>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</si>
  <si>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</si>
  <si>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</si>
  <si>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</si>
  <si>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</si>
  <si>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</si>
  <si>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</si>
  <si>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</si>
  <si>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</si>
  <si>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</si>
  <si>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</si>
  <si>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</si>
  <si>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</si>
  <si>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</si>
  <si>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</si>
  <si>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</si>
  <si>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</si>
  <si>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</si>
  <si>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</si>
  <si>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</si>
  <si>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</si>
  <si>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</si>
  <si>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</si>
  <si>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</si>
  <si>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</si>
  <si>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</si>
  <si>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</si>
  <si>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</si>
  <si>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</si>
  <si>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</si>
  <si>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</si>
  <si>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</si>
  <si>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</si>
  <si>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</si>
  <si>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</si>
  <si>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</si>
  <si>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</si>
  <si>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</si>
  <si>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</si>
  <si>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</si>
  <si>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</si>
  <si>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</si>
  <si>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</si>
  <si>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</si>
  <si>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</si>
  <si>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</si>
  <si>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</si>
  <si>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</si>
  <si>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</si>
  <si>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</si>
  <si>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</si>
  <si>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</si>
  <si>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</si>
  <si>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</si>
  <si>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</si>
  <si>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</si>
  <si>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</si>
  <si>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</si>
  <si>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</si>
  <si>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</si>
  <si>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</si>
  <si>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</si>
  <si>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</si>
  <si>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</si>
  <si>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</si>
  <si>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</si>
  <si>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</si>
  <si>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</si>
  <si>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</si>
  <si>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</si>
  <si>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</si>
  <si>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</si>
  <si>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</si>
  <si>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</si>
  <si>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</si>
  <si>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</si>
  <si>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</si>
  <si>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</si>
  <si>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</si>
  <si>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</si>
  <si>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</si>
  <si>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</si>
  <si>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</si>
  <si>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</si>
  <si>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</si>
  <si>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</si>
  <si>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</si>
  <si>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</si>
  <si>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</si>
  <si>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</si>
  <si>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</si>
  <si>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</si>
  <si>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</si>
  <si>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</si>
  <si>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</si>
  <si>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</si>
  <si>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</si>
  <si>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</si>
  <si>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</si>
  <si>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</si>
  <si>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</si>
  <si>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</si>
  <si>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</si>
  <si>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</si>
  <si>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</si>
  <si>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</si>
  <si>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</si>
  <si>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</si>
  <si>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</si>
  <si>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</si>
  <si>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</si>
  <si>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</si>
  <si>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</si>
  <si>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</si>
  <si>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</si>
  <si>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</si>
  <si>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</si>
  <si>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</si>
  <si>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</si>
  <si>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</si>
  <si>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</si>
  <si>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</si>
  <si>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</si>
  <si>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</si>
  <si>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</si>
  <si>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</si>
  <si>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</si>
  <si>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</si>
  <si>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</si>
  <si>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</si>
  <si>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</si>
  <si>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</si>
  <si>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</si>
  <si>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</si>
  <si>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</si>
  <si>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</si>
  <si>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</si>
  <si>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</si>
  <si>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</si>
  <si>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</si>
  <si>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</si>
  <si>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</si>
  <si>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</si>
  <si>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</si>
  <si>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</si>
  <si>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</si>
  <si>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</si>
  <si>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</si>
  <si>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</si>
  <si>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</si>
  <si>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</si>
  <si>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</si>
  <si>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</si>
  <si>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</si>
  <si>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</si>
  <si>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</si>
  <si>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</si>
  <si>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</si>
  <si>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</si>
  <si>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</si>
  <si>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</si>
  <si>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</si>
  <si>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</si>
  <si>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</si>
  <si>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</si>
  <si>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</si>
  <si>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</si>
  <si>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</si>
  <si>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</si>
  <si>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</si>
  <si>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</si>
  <si>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</si>
  <si>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</si>
  <si>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</si>
  <si>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</si>
  <si>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</si>
  <si>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</si>
  <si>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</si>
  <si>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</si>
  <si>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</si>
  <si>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</si>
  <si>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</si>
  <si>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</si>
  <si>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</si>
  <si>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</si>
  <si>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</si>
  <si>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</si>
  <si>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</si>
  <si>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</si>
  <si>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</si>
  <si>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</si>
  <si>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</si>
  <si>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</si>
  <si>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</si>
  <si>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</si>
  <si>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</si>
  <si>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</si>
  <si>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</si>
  <si>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</si>
  <si>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</si>
  <si>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</si>
  <si>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</si>
  <si>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</si>
  <si>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</si>
  <si>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</si>
  <si>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</si>
  <si>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</si>
  <si>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</si>
  <si>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</si>
  <si>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</si>
  <si>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</si>
  <si>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</si>
  <si>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</si>
  <si>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</si>
  <si>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</si>
  <si>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</si>
  <si>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</si>
  <si>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</si>
  <si>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</si>
  <si>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</si>
  <si>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</si>
  <si>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</si>
  <si>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</si>
  <si>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</si>
  <si>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</si>
  <si>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</si>
  <si>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</si>
  <si>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</si>
  <si>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</si>
  <si>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</si>
  <si>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</si>
  <si>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</si>
  <si>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</si>
  <si>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</si>
  <si>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</si>
  <si>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</si>
  <si>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</si>
  <si>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</si>
  <si>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</si>
  <si>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</si>
  <si>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</si>
  <si>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</si>
  <si>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</si>
  <si>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</si>
  <si>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</si>
  <si>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</si>
  <si>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</si>
  <si>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</si>
  <si>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</si>
  <si>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</si>
  <si>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</si>
  <si>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</si>
  <si>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</si>
  <si>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</si>
  <si>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</si>
  <si>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</si>
  <si>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</si>
  <si>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</si>
  <si>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</si>
  <si>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</si>
  <si>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</si>
  <si>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</si>
  <si>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</si>
  <si>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</si>
  <si>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</si>
  <si>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</si>
  <si>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</si>
  <si>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</si>
  <si>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</si>
  <si>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</si>
  <si>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</si>
  <si>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</si>
  <si>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</si>
  <si>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</si>
  <si>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</si>
  <si>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</si>
  <si>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</si>
  <si>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</si>
  <si>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</si>
  <si>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</si>
  <si>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</si>
  <si>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</si>
  <si>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</si>
  <si>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</si>
  <si>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</si>
  <si>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</si>
  <si>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</si>
  <si>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</si>
  <si>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</si>
  <si>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</si>
  <si>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</si>
  <si>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</si>
  <si>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</si>
  <si>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</si>
  <si>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</si>
  <si>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</si>
  <si>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</si>
  <si>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</si>
  <si>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</si>
  <si>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</si>
  <si>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</si>
  <si>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</si>
  <si>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</si>
  <si>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</si>
  <si>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</si>
  <si>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</si>
  <si>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</si>
  <si>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</si>
  <si>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</si>
  <si>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</si>
  <si>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</si>
  <si>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</si>
  <si>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</si>
  <si>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</si>
  <si>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</si>
  <si>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</si>
  <si>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</si>
  <si>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</si>
  <si>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</si>
  <si>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</si>
  <si>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</si>
  <si>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</si>
  <si>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</si>
  <si>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</si>
  <si>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</si>
  <si>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</si>
  <si>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</si>
  <si>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</si>
  <si>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</si>
  <si>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</si>
  <si>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</si>
  <si>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</si>
  <si>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</si>
  <si>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</si>
  <si>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</si>
  <si>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</si>
  <si>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</si>
  <si>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</si>
  <si>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</si>
  <si>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</si>
  <si>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</si>
  <si>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</si>
  <si>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</si>
  <si>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</si>
  <si>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</si>
  <si>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</si>
  <si>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</si>
  <si>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</si>
  <si>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</si>
  <si>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</si>
  <si>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</si>
  <si>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</si>
  <si>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</si>
  <si>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</si>
  <si>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</si>
  <si>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</si>
  <si>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</si>
  <si>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</si>
  <si>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</si>
  <si>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</si>
  <si>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</si>
  <si>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</si>
  <si>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</si>
  <si>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</si>
  <si>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</si>
  <si>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</si>
  <si>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</si>
  <si>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</si>
  <si>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</si>
  <si>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</si>
  <si>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</si>
  <si>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</si>
  <si>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</si>
  <si>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</si>
  <si>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</si>
  <si>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</si>
  <si>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</si>
  <si>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</si>
  <si>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</si>
  <si>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</si>
  <si>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</si>
  <si>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</si>
  <si>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</si>
  <si>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</si>
  <si>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</si>
  <si>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</si>
  <si>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</si>
  <si>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</si>
  <si>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</si>
  <si>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</si>
  <si>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</si>
  <si>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</si>
  <si>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</si>
  <si>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</si>
  <si>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</si>
  <si>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</si>
  <si>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</si>
  <si>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</si>
  <si>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</si>
  <si>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</si>
  <si>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</si>
  <si>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</si>
  <si>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</si>
  <si>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</si>
  <si>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</si>
  <si>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</si>
  <si>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</si>
  <si>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</si>
  <si>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</si>
  <si>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</si>
  <si>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</si>
  <si>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</si>
  <si>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</si>
  <si>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</si>
  <si>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</si>
  <si>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</si>
  <si>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</si>
  <si>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</si>
  <si>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</si>
  <si>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</si>
  <si>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</si>
  <si>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</si>
  <si>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</si>
  <si>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</si>
  <si>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</si>
  <si>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</si>
  <si>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</si>
  <si>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</si>
  <si>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</si>
  <si>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</si>
  <si>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</si>
  <si>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</si>
  <si>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</si>
  <si>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</si>
  <si>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</si>
  <si>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</si>
  <si>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</si>
  <si>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</si>
  <si>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</si>
  <si>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</si>
  <si>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</si>
  <si>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</si>
  <si>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</si>
  <si>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</si>
  <si>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</si>
  <si>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</si>
  <si>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</si>
  <si>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</si>
  <si>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</si>
  <si>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</si>
  <si>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</si>
  <si>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</si>
  <si>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</si>
  <si>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</si>
  <si>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</si>
  <si>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</si>
  <si>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</si>
  <si>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</si>
  <si>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</si>
  <si>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</si>
  <si>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</si>
  <si>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</si>
  <si>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</si>
  <si>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</si>
  <si>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</si>
  <si>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</si>
  <si>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</si>
  <si>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</si>
  <si>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</si>
  <si>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</si>
  <si>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</si>
  <si>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</si>
  <si>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</si>
  <si>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</si>
  <si>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</si>
  <si>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</si>
  <si>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</si>
  <si>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</si>
  <si>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</si>
  <si>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</si>
  <si>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</si>
  <si>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</si>
  <si>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</si>
  <si>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</si>
  <si>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</si>
  <si>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</si>
  <si>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</si>
  <si>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</si>
  <si>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</si>
  <si>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</si>
  <si>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</si>
  <si>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</si>
  <si>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</si>
  <si>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</si>
  <si>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</si>
  <si>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</si>
  <si>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</si>
  <si>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</si>
  <si>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</si>
  <si>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</si>
  <si>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</si>
  <si>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</si>
  <si>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</si>
  <si>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</si>
  <si>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</si>
  <si>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</si>
  <si>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</si>
  <si>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</si>
  <si>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</si>
  <si>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</si>
  <si>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</si>
  <si>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</si>
  <si>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</si>
  <si>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</si>
  <si>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</si>
  <si>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</si>
  <si>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</si>
  <si>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</si>
  <si>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</si>
  <si>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</si>
  <si>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</si>
  <si>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</si>
  <si>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</si>
  <si>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</si>
  <si>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</si>
  <si>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</si>
  <si>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</si>
  <si>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</si>
  <si>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</si>
  <si>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</si>
  <si>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</si>
  <si>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</si>
  <si>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</si>
  <si>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</si>
  <si>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</si>
  <si>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</si>
  <si>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</si>
  <si>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</si>
  <si>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</si>
  <si>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</si>
  <si>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</si>
  <si>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</si>
  <si>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</si>
  <si>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</si>
  <si>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</si>
  <si>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</si>
  <si>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</si>
  <si>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</si>
  <si>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</si>
  <si>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</si>
  <si>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</si>
  <si>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</si>
  <si>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</si>
  <si>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</si>
  <si>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</si>
  <si>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</si>
  <si>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</si>
  <si>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</si>
  <si>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</si>
  <si>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</si>
  <si>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</si>
  <si>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</si>
  <si>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</si>
  <si>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</si>
  <si>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</si>
  <si>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</si>
  <si>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</si>
  <si>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</si>
  <si>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</si>
  <si>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</si>
  <si>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</si>
  <si>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</si>
  <si>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</si>
  <si>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</si>
  <si>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</si>
  <si>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</si>
  <si>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</si>
  <si>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</si>
  <si>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</si>
  <si>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</si>
  <si>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</si>
  <si>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</si>
  <si>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</si>
  <si>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</si>
  <si>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</si>
  <si>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</si>
  <si>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</si>
  <si>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</si>
  <si>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</si>
  <si>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</si>
  <si>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</si>
  <si>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</si>
  <si>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</si>
  <si>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</si>
  <si>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</si>
  <si>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</si>
  <si>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</si>
  <si>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</si>
  <si>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</si>
  <si>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</si>
  <si>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</si>
  <si>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</si>
  <si>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</si>
  <si>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</si>
  <si>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</si>
  <si>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</si>
  <si>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</si>
  <si>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</si>
  <si>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</si>
  <si>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</si>
  <si>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</si>
  <si>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</si>
  <si>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</si>
  <si>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</si>
  <si>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</si>
  <si>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</si>
  <si>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</si>
  <si>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</si>
  <si>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</si>
  <si>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</si>
  <si>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</si>
  <si>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</si>
  <si>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</si>
  <si>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</si>
  <si>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</si>
  <si>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</si>
  <si>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</si>
  <si>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</si>
  <si>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</si>
  <si>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</si>
  <si>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</si>
  <si>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</si>
  <si>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</si>
  <si>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</si>
  <si>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</si>
  <si>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</si>
  <si>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</si>
  <si>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</si>
  <si>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</si>
  <si>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</si>
  <si>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</si>
  <si>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</si>
  <si>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</si>
  <si>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</si>
  <si>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</si>
  <si>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</si>
  <si>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</si>
  <si>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</si>
  <si>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</si>
  <si>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</si>
  <si>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</si>
  <si>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</si>
  <si>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</si>
  <si>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</si>
  <si>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</si>
  <si>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</si>
  <si>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</si>
  <si>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</si>
  <si>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</si>
  <si>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</si>
  <si>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</si>
  <si>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</si>
  <si>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</si>
  <si>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</si>
  <si>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</si>
  <si>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</si>
  <si>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</si>
  <si>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</si>
  <si>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</si>
  <si>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</si>
  <si>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</si>
  <si>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</si>
  <si>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</si>
  <si>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</si>
  <si>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</si>
  <si>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</si>
  <si>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</si>
  <si>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</si>
  <si>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</si>
  <si>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</si>
  <si>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</si>
  <si>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</si>
  <si>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</si>
  <si>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</si>
  <si>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</si>
  <si>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</si>
  <si>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</si>
  <si>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</si>
  <si>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</si>
  <si>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</si>
  <si>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</si>
  <si>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</si>
  <si>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</si>
  <si>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</si>
  <si>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</si>
  <si>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</si>
  <si>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</si>
  <si>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</si>
  <si>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</si>
  <si>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</si>
  <si>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</si>
  <si>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</si>
  <si>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</si>
  <si>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</si>
  <si>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</si>
  <si>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</si>
  <si>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</si>
  <si>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</si>
  <si>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</si>
  <si>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</si>
  <si>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</si>
  <si>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</si>
  <si>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</si>
  <si>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</si>
  <si>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</si>
  <si>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</si>
  <si>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</si>
  <si>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</si>
  <si>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</si>
  <si>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</si>
  <si>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</si>
  <si>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</si>
  <si>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</si>
  <si>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</si>
  <si>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</si>
  <si>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</si>
  <si>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</si>
  <si>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</si>
  <si>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</si>
  <si>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</si>
  <si>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</si>
  <si>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</si>
  <si>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</si>
  <si>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</si>
  <si>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</si>
  <si>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</si>
  <si>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</si>
  <si>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</si>
  <si>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</si>
  <si>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</si>
  <si>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</si>
  <si>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</si>
  <si>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</si>
  <si>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</si>
  <si>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</si>
  <si>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</si>
  <si>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</si>
  <si>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</si>
  <si>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</si>
  <si>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</si>
  <si>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</si>
  <si>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</si>
  <si>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</si>
  <si>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</si>
  <si>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</si>
  <si>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</si>
  <si>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</si>
  <si>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</si>
  <si>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</si>
  <si>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</si>
  <si>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</si>
  <si>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</si>
  <si>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</si>
  <si>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</si>
  <si>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</si>
  <si>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</si>
  <si>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</si>
  <si>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</si>
  <si>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</si>
  <si>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</si>
  <si>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</si>
  <si>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</si>
  <si>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</si>
  <si>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</si>
  <si>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</si>
  <si>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</si>
  <si>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</si>
  <si>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</si>
  <si>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</si>
  <si>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</si>
  <si>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</si>
  <si>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</si>
  <si>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</si>
  <si>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</si>
  <si>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</si>
  <si>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</si>
  <si>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</si>
  <si>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</si>
  <si>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</si>
  <si>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</si>
  <si>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</si>
  <si>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</si>
  <si>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</si>
  <si>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</si>
  <si>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</si>
  <si>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</si>
  <si>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</si>
  <si>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</si>
  <si>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</si>
  <si>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</si>
  <si>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</si>
  <si>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</si>
  <si>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</si>
  <si>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</si>
  <si>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</si>
  <si>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</si>
  <si>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</si>
  <si>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</si>
  <si>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</si>
  <si>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</si>
  <si>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</si>
  <si>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</si>
  <si>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</si>
  <si>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</si>
  <si>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</si>
  <si>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</si>
  <si>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</si>
  <si>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</si>
  <si>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</si>
  <si>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</si>
  <si>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</si>
  <si>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</si>
  <si>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</si>
  <si>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</si>
  <si>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</si>
  <si>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</si>
  <si>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</si>
  <si>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</si>
  <si>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</si>
  <si>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</si>
  <si>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</si>
  <si>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</si>
  <si>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</si>
  <si>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</si>
  <si>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</si>
  <si>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</si>
  <si>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</si>
  <si>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</si>
  <si>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</si>
  <si>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</si>
  <si>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</si>
  <si>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</si>
  <si>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</si>
  <si>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</si>
  <si>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</si>
  <si>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</si>
  <si>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</si>
  <si>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</si>
  <si>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</si>
  <si>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</si>
  <si>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</si>
  <si>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</si>
  <si>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</si>
  <si>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</si>
  <si>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</si>
  <si>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</si>
  <si>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</si>
  <si>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</si>
  <si>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</si>
  <si>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</si>
  <si>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</si>
  <si>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</si>
  <si>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</si>
  <si>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</si>
  <si>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</si>
  <si>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</si>
  <si>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</si>
  <si>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</si>
  <si>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</si>
  <si>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</si>
  <si>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</si>
  <si>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</si>
  <si>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</si>
  <si>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</si>
  <si>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</si>
  <si>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</si>
  <si>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</si>
  <si>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</si>
  <si>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</si>
  <si>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</si>
  <si>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</si>
  <si>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</si>
  <si>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</si>
  <si>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</si>
  <si>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</si>
  <si>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</si>
  <si>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</si>
  <si>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</si>
  <si>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</si>
  <si>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</si>
  <si>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</si>
  <si>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</si>
  <si>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</si>
  <si>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</si>
  <si>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</si>
  <si>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</si>
  <si>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</si>
  <si>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</si>
  <si>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</si>
  <si>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</si>
  <si>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</si>
  <si>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</si>
  <si>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</si>
  <si>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</si>
  <si>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</si>
  <si>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</si>
  <si>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</si>
  <si>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</si>
  <si>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</si>
  <si>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</si>
  <si>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</si>
  <si>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</si>
  <si>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</si>
  <si>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</si>
  <si>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</si>
  <si>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</si>
  <si>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</si>
  <si>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</si>
  <si>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</si>
  <si>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</si>
  <si>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</si>
  <si>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</si>
  <si>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</si>
  <si>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</si>
  <si>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</si>
  <si>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</si>
  <si>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</si>
  <si>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</si>
  <si>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</si>
  <si>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</si>
  <si>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</si>
  <si>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</si>
  <si>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</si>
  <si>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</si>
  <si>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</si>
  <si>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</si>
  <si>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</si>
  <si>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</si>
  <si>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</si>
  <si>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</si>
  <si>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</si>
  <si>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</si>
  <si>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</si>
  <si>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</si>
  <si>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</si>
  <si>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</si>
  <si>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</si>
  <si>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</si>
  <si>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</si>
  <si>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</si>
  <si>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</si>
  <si>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</si>
  <si>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</si>
  <si>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</si>
  <si>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</si>
  <si>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</si>
  <si>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</si>
  <si>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</si>
  <si>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</si>
  <si>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</si>
  <si>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</si>
  <si>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</si>
  <si>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</si>
  <si>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</si>
  <si>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</si>
  <si>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</si>
  <si>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</si>
  <si>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</si>
  <si>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</si>
  <si>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</si>
  <si>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</si>
  <si>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</si>
  <si>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</si>
  <si>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</si>
  <si>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</si>
  <si>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</si>
  <si>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</si>
  <si>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</si>
  <si>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</si>
  <si>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</si>
  <si>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</si>
  <si>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</si>
  <si>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</si>
  <si>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</si>
  <si>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</si>
  <si>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</si>
  <si>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</si>
  <si>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</si>
  <si>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</si>
  <si>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</si>
  <si>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</si>
  <si>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</si>
  <si>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</si>
  <si>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</si>
  <si>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</si>
  <si>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</si>
  <si>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</si>
  <si>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</si>
  <si>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</si>
  <si>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</si>
  <si>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</si>
  <si>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</si>
  <si>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</si>
  <si>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</si>
  <si>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</si>
  <si>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</si>
  <si>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</si>
  <si>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</si>
  <si>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</si>
  <si>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</si>
  <si>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</si>
  <si>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</si>
  <si>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</si>
  <si>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</si>
  <si>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</si>
  <si>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</si>
  <si>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</si>
  <si>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</si>
  <si>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</si>
  <si>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</si>
  <si>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</si>
  <si>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</si>
  <si>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</si>
  <si>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</si>
  <si>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</si>
  <si>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</si>
  <si>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</si>
  <si>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</si>
  <si>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</si>
  <si>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</si>
  <si>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</si>
  <si>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</si>
  <si>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</si>
  <si>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</si>
  <si>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</si>
  <si>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</si>
  <si>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</si>
  <si>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</si>
  <si>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</si>
  <si>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</si>
  <si>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</si>
  <si>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</si>
  <si>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</si>
  <si>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</si>
  <si>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</si>
  <si>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</si>
  <si>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</si>
  <si>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</si>
  <si>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</si>
  <si>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</si>
  <si>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</si>
  <si>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</si>
  <si>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</si>
  <si>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</si>
  <si>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</si>
  <si>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</si>
  <si>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</si>
  <si>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</si>
  <si>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</si>
  <si>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</si>
  <si>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</si>
  <si>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</si>
  <si>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</si>
  <si>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</si>
  <si>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</si>
  <si>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</si>
  <si>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</si>
  <si>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</si>
  <si>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</si>
  <si>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</si>
  <si>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</si>
  <si>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</si>
  <si>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</si>
  <si>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</si>
  <si>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</si>
  <si>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</si>
  <si>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</si>
  <si>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</si>
  <si>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</si>
  <si>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</si>
  <si>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</si>
  <si>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</si>
  <si>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</si>
  <si>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</si>
  <si>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</si>
  <si>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</si>
  <si>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</si>
  <si>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</si>
  <si>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</si>
  <si>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</si>
  <si>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</si>
  <si>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</si>
  <si>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</si>
  <si>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</si>
  <si>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</si>
  <si>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</si>
  <si>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</si>
  <si>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</si>
  <si>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</si>
  <si>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</si>
  <si>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</si>
  <si>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</si>
  <si>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</si>
  <si>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</si>
  <si>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</si>
  <si>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</si>
  <si>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</si>
  <si>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</si>
  <si>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</si>
  <si>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</si>
  <si>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</si>
  <si>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</si>
  <si>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</si>
  <si>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</si>
  <si>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</si>
  <si>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</si>
  <si>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</si>
  <si>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</si>
  <si>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</si>
  <si>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</si>
  <si>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</si>
  <si>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</si>
  <si>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</si>
  <si>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</si>
  <si>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</si>
  <si>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</si>
  <si>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</si>
  <si>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</si>
  <si>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</si>
  <si>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</si>
  <si>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</si>
  <si>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</si>
  <si>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</si>
  <si>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</si>
  <si>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</si>
  <si>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</si>
  <si>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</si>
  <si>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</si>
  <si>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</si>
  <si>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</si>
  <si>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</si>
  <si>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</si>
  <si>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</si>
  <si>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</si>
  <si>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</si>
  <si>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</si>
  <si>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</si>
  <si>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</si>
  <si>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</si>
  <si>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</si>
  <si>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</si>
  <si>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</si>
  <si>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</si>
  <si>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</si>
  <si>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</si>
  <si>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</si>
  <si>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</si>
  <si>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</si>
  <si>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</si>
  <si>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</si>
  <si>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</si>
  <si>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</si>
  <si>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</si>
  <si>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</si>
  <si>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</si>
  <si>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</si>
  <si>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</si>
  <si>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</si>
  <si>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</si>
  <si>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</si>
  <si>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</si>
  <si>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</si>
  <si>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</si>
  <si>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</si>
  <si>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</si>
  <si>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</si>
  <si>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</si>
  <si>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</si>
  <si>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</si>
  <si>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</si>
  <si>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</si>
  <si>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</si>
  <si>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</si>
  <si>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</si>
  <si>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</si>
  <si>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</si>
  <si>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</si>
  <si>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</si>
  <si>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</si>
  <si>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</si>
  <si>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</si>
  <si>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</si>
  <si>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</si>
  <si>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</si>
  <si>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</si>
  <si>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</si>
  <si>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</si>
  <si>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</si>
  <si>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</si>
  <si>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</si>
  <si>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</si>
  <si>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</si>
  <si>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</si>
  <si>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</si>
  <si>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</si>
  <si>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</si>
  <si>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</si>
  <si>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</si>
  <si>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</si>
  <si>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</si>
  <si>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</si>
  <si>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</si>
  <si>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</si>
  <si>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</si>
  <si>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</si>
  <si>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</si>
  <si>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</si>
  <si>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</si>
  <si>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</si>
  <si>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</si>
  <si>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</si>
  <si>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</si>
  <si>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</si>
  <si>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</si>
  <si>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</si>
  <si>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</si>
  <si>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</si>
  <si>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</si>
  <si>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</si>
  <si>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</si>
  <si>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</si>
  <si>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</si>
  <si>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</si>
  <si>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</si>
  <si>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</si>
  <si>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</si>
  <si>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</si>
  <si>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</si>
  <si>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</si>
  <si>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</si>
  <si>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</si>
  <si>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</si>
  <si>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</si>
  <si>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</si>
  <si>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</si>
  <si>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</si>
  <si>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</si>
  <si>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</si>
  <si>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</si>
  <si>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</si>
  <si>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</si>
  <si>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</si>
  <si>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</si>
  <si>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</si>
  <si>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</si>
  <si>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</si>
  <si>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</si>
  <si>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</si>
  <si>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</si>
  <si>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</si>
  <si>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</si>
  <si>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</si>
  <si>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</si>
  <si>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</si>
  <si>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</si>
  <si>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</si>
  <si>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</si>
  <si>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</si>
  <si>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</si>
  <si>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</si>
  <si>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</si>
  <si>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</si>
  <si>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</si>
  <si>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</si>
  <si>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</si>
  <si>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</si>
  <si>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</si>
  <si>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</si>
  <si>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</si>
  <si>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</si>
  <si>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</si>
  <si>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</si>
  <si>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</si>
  <si>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</si>
  <si>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</si>
  <si>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</si>
  <si>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</si>
  <si>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</si>
  <si>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</si>
  <si>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</si>
  <si>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</si>
  <si>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</si>
  <si>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</si>
  <si>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</si>
  <si>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</si>
  <si>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</si>
  <si>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</si>
  <si>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</si>
  <si>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</si>
  <si>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</si>
  <si>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</si>
  <si>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</si>
  <si>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</si>
  <si>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</si>
  <si>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</si>
  <si>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</si>
  <si>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</si>
  <si>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</si>
  <si>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</si>
  <si>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</si>
  <si>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</si>
  <si>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</si>
  <si>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</si>
  <si>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</si>
  <si>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</si>
  <si>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</si>
  <si>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</si>
  <si>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</si>
  <si>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</si>
  <si>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</si>
  <si>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</si>
  <si>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</si>
  <si>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</si>
  <si>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</si>
  <si>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</si>
  <si>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</si>
  <si>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</si>
  <si>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</si>
  <si>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</si>
  <si>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</si>
  <si>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</si>
  <si>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</si>
  <si>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</si>
  <si>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</si>
  <si>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</si>
  <si>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</si>
  <si>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</si>
  <si>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</si>
  <si>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</si>
  <si>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</si>
  <si>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</si>
  <si>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</si>
  <si>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</si>
  <si>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</si>
  <si>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</si>
  <si>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</si>
  <si>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</si>
  <si>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</si>
  <si>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</si>
  <si>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</si>
  <si>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</si>
  <si>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</si>
  <si>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</si>
  <si>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</si>
  <si>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</si>
  <si>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</si>
  <si>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</si>
  <si>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</si>
  <si>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</si>
  <si>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</si>
  <si>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</si>
  <si>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</si>
  <si>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</si>
  <si>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</si>
  <si>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</si>
  <si>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</si>
  <si>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</si>
  <si>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</si>
  <si>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</si>
  <si>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</si>
  <si>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</si>
  <si>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</si>
  <si>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</si>
  <si>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</si>
  <si>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</si>
  <si>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</si>
  <si>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</si>
  <si>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</si>
  <si>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</si>
  <si>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</si>
  <si>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</si>
  <si>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</si>
  <si>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</si>
  <si>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</si>
  <si>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</si>
  <si>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</si>
  <si>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</si>
  <si>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</si>
  <si>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</si>
  <si>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</si>
  <si>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</si>
  <si>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</si>
  <si>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</si>
  <si>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</si>
  <si>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</si>
  <si>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</si>
  <si>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</si>
  <si>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</si>
  <si>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</si>
  <si>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</si>
  <si>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</si>
  <si>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</si>
  <si>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</si>
  <si>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</si>
  <si>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</si>
  <si>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</si>
  <si>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</si>
  <si>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</si>
  <si>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</si>
  <si>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</si>
  <si>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</si>
  <si>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</si>
  <si>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</si>
  <si>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</si>
  <si>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</si>
  <si>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</si>
  <si>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</si>
  <si>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</si>
  <si>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</si>
  <si>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</si>
  <si>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</si>
  <si>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</si>
  <si>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</si>
  <si>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</si>
  <si>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</si>
  <si>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</si>
  <si>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</si>
  <si>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</si>
  <si>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</si>
  <si>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</si>
  <si>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</si>
  <si>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</si>
  <si>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</si>
  <si>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</si>
  <si>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</si>
  <si>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</si>
  <si>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</si>
  <si>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</si>
  <si>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</si>
  <si>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</si>
  <si>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</si>
  <si>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</si>
  <si>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</si>
  <si>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</si>
  <si>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</si>
  <si>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</si>
  <si>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</si>
  <si>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</si>
  <si>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</si>
  <si>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</si>
  <si>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</si>
  <si>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</si>
  <si>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</si>
  <si>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</si>
  <si>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</si>
  <si>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</si>
  <si>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</si>
  <si>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</si>
  <si>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</si>
  <si>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</si>
  <si>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</si>
  <si>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</si>
  <si>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</si>
  <si>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</si>
  <si>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</si>
  <si>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</si>
  <si>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</si>
  <si>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</si>
  <si>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</si>
  <si>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</si>
  <si>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</si>
  <si>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</si>
  <si>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</si>
  <si>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</si>
  <si>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</si>
  <si>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</si>
  <si>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</si>
  <si>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</si>
  <si>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</si>
  <si>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</si>
  <si>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</si>
  <si>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</si>
  <si>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</si>
  <si>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</si>
  <si>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</si>
  <si>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</si>
  <si>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</si>
  <si>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</si>
  <si>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</si>
  <si>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</si>
  <si>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</si>
  <si>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</si>
  <si>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</si>
  <si>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</si>
  <si>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</si>
  <si>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</si>
  <si>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</si>
  <si>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</si>
  <si>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</si>
  <si>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</si>
  <si>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</si>
  <si>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</si>
  <si>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</si>
  <si>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</si>
  <si>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</si>
  <si>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</si>
  <si>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</si>
  <si>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</si>
  <si>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</si>
  <si>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</si>
  <si>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</si>
  <si>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</si>
  <si>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</si>
  <si>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</si>
  <si>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</si>
  <si>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</si>
  <si>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</si>
  <si>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</si>
  <si>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</si>
  <si>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</si>
  <si>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</si>
  <si>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</si>
  <si>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</si>
  <si>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</si>
  <si>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</si>
  <si>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</si>
  <si>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</si>
  <si>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</si>
  <si>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</si>
  <si>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</si>
  <si>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</si>
  <si>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</si>
  <si>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</si>
  <si>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</si>
  <si>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</si>
  <si>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</si>
  <si>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</si>
  <si>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</si>
  <si>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</si>
  <si>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</si>
  <si>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</si>
  <si>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</si>
  <si>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</si>
  <si>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</si>
  <si>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</si>
  <si>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</si>
  <si>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</si>
  <si>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</si>
  <si>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</si>
  <si>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</si>
  <si>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</si>
  <si>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</si>
  <si>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</si>
  <si>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</si>
  <si>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</si>
  <si>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</si>
  <si>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</si>
  <si>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</si>
  <si>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</si>
  <si>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</si>
  <si>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</si>
  <si>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</si>
  <si>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</si>
  <si>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</si>
  <si>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</si>
  <si>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</si>
  <si>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</si>
  <si>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</si>
  <si>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</si>
  <si>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</si>
  <si>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</si>
  <si>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</si>
  <si>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</si>
  <si>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</si>
  <si>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</si>
  <si>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</si>
  <si>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</si>
  <si>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</si>
  <si>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</si>
  <si>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</si>
  <si>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</si>
  <si>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</si>
  <si>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</si>
  <si>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</si>
  <si>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</si>
  <si>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</si>
  <si>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</si>
  <si>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</si>
  <si>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</si>
  <si>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</si>
  <si>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</si>
  <si>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</si>
  <si>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</si>
  <si>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</si>
  <si>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</si>
  <si>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</si>
  <si>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</si>
  <si>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</si>
  <si>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</si>
  <si>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</si>
  <si>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</si>
  <si>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</si>
  <si>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</si>
  <si>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</si>
  <si>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</si>
  <si>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</si>
  <si>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</si>
  <si>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</si>
  <si>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</si>
  <si>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</si>
  <si>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</si>
  <si>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</si>
  <si>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</si>
  <si>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</si>
  <si>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</si>
  <si>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</si>
  <si>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</si>
  <si>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</si>
  <si>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</si>
  <si>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</si>
  <si>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</si>
  <si>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</si>
  <si>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</si>
  <si>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</si>
  <si>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</si>
  <si>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</si>
  <si>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</si>
  <si>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</si>
  <si>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</si>
  <si>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</si>
  <si>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</si>
  <si>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</si>
  <si>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</si>
  <si>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</si>
  <si>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</si>
  <si>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</si>
  <si>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</si>
  <si>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</si>
  <si>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</si>
  <si>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</si>
  <si>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</si>
  <si>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</si>
  <si>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</si>
  <si>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</si>
  <si>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</si>
  <si>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</si>
  <si>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</si>
  <si>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</si>
  <si>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</si>
  <si>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</si>
  <si>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</si>
  <si>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</si>
  <si>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</si>
  <si>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</si>
  <si>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</si>
  <si>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</si>
  <si>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</si>
  <si>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</si>
  <si>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</si>
  <si>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</si>
  <si>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</si>
  <si>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</si>
  <si>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</si>
  <si>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</si>
  <si>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</si>
  <si>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</si>
  <si>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</si>
  <si>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</si>
  <si>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</si>
  <si>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</si>
  <si>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</si>
  <si>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</si>
  <si>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</si>
  <si>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</si>
  <si>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</si>
  <si>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</si>
  <si>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</si>
  <si>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</si>
  <si>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</si>
  <si>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</si>
  <si>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</si>
  <si>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</si>
  <si>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</si>
  <si>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</si>
  <si>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</si>
  <si>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</si>
  <si>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</si>
  <si>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</si>
  <si>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</si>
  <si>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</si>
  <si>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</si>
  <si>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</si>
  <si>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</si>
  <si>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</si>
  <si>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</si>
  <si>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</si>
  <si>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</si>
  <si>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</si>
  <si>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</si>
  <si>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</si>
  <si>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</si>
  <si>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</si>
  <si>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</si>
  <si>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</si>
  <si>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</si>
  <si>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</si>
  <si>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</si>
  <si>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</si>
  <si>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</si>
  <si>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</si>
  <si>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</si>
  <si>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</si>
  <si>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</si>
  <si>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</si>
  <si>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</si>
  <si>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</si>
  <si>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</si>
  <si>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</si>
  <si>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</si>
  <si>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</si>
  <si>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</si>
  <si>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</si>
  <si>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</si>
  <si>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</si>
  <si>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</si>
  <si>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</si>
  <si>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</si>
  <si>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</si>
  <si>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</si>
  <si>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</si>
  <si>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</si>
  <si>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</si>
  <si>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</si>
  <si>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</si>
  <si>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</si>
  <si>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</si>
  <si>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</si>
  <si>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</si>
  <si>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</si>
  <si>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</si>
  <si>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</si>
  <si>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</si>
  <si>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</si>
  <si>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</si>
  <si>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</si>
  <si>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</si>
  <si>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</si>
  <si>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</si>
  <si>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</si>
  <si>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</si>
  <si>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</si>
  <si>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</si>
  <si>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</si>
  <si>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</si>
  <si>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</si>
  <si>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</si>
  <si>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</si>
  <si>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</si>
  <si>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</si>
  <si>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</si>
  <si>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</si>
  <si>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</si>
  <si>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</si>
  <si>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</si>
  <si>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</si>
  <si>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</si>
  <si>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</si>
  <si>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</si>
  <si>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</si>
  <si>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</si>
  <si>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</si>
  <si>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</si>
  <si>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</si>
  <si>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</si>
  <si>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</si>
  <si>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</si>
  <si>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</si>
  <si>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</si>
  <si>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</si>
  <si>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</si>
  <si>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</si>
  <si>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</si>
  <si>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</si>
  <si>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</si>
  <si>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</si>
  <si>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</si>
  <si>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</si>
  <si>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</si>
  <si>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</si>
  <si>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</si>
  <si>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</si>
  <si>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</si>
  <si>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</si>
  <si>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</si>
  <si>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</si>
  <si>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</si>
  <si>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</si>
  <si>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</si>
  <si>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</si>
  <si>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</si>
  <si>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</si>
  <si>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</si>
  <si>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</si>
  <si>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</si>
  <si>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</si>
  <si>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</si>
  <si>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</si>
  <si>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</si>
  <si>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</si>
  <si>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</si>
  <si>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</si>
  <si>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</si>
  <si>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</si>
  <si>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</si>
  <si>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</si>
  <si>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</si>
  <si>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</si>
  <si>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</si>
  <si>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</si>
  <si>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</si>
  <si>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</si>
  <si>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</si>
  <si>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</si>
  <si>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</si>
  <si>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</si>
  <si>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</si>
  <si>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</si>
  <si>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</si>
  <si>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</si>
  <si>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</si>
  <si>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</si>
  <si>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</si>
  <si>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</si>
  <si>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</si>
  <si>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</si>
  <si>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</si>
  <si>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</si>
  <si>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</si>
  <si>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</si>
  <si>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</si>
  <si>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</si>
  <si>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</si>
  <si>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</si>
  <si>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</si>
  <si>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</si>
  <si>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</si>
  <si>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</si>
  <si>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</si>
  <si>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</si>
  <si>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</si>
  <si>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</si>
  <si>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</si>
  <si>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</si>
  <si>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</si>
  <si>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</si>
  <si>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</si>
  <si>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</si>
  <si>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</si>
  <si>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</si>
  <si>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</si>
  <si>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</si>
  <si>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</si>
  <si>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</si>
  <si>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</si>
  <si>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</si>
  <si>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</si>
  <si>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</si>
  <si>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</si>
  <si>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</si>
  <si>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</si>
  <si>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</si>
  <si>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</si>
  <si>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</si>
  <si>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</si>
  <si>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</si>
  <si>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</si>
  <si>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</si>
  <si>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</si>
  <si>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</si>
  <si>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</si>
  <si>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</si>
  <si>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</si>
  <si>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</si>
  <si>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</si>
  <si>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</si>
  <si>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</si>
  <si>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</si>
  <si>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</si>
  <si>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</si>
  <si>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</si>
  <si>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</si>
  <si>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</si>
  <si>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</si>
  <si>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</si>
  <si>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</si>
  <si>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</si>
  <si>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</si>
  <si>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</si>
  <si>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</si>
  <si>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</si>
  <si>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</si>
  <si>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</si>
  <si>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</si>
  <si>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</si>
  <si>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</si>
  <si>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</si>
  <si>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</si>
  <si>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</si>
  <si>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</si>
  <si>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</si>
  <si>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</si>
  <si>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</si>
  <si>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</si>
  <si>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</si>
  <si>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</si>
  <si>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</si>
  <si>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</si>
  <si>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</si>
  <si>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</si>
  <si>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</si>
  <si>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</si>
  <si>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</si>
  <si>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</si>
  <si>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</si>
  <si>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</si>
  <si>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</si>
  <si>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</si>
  <si>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</si>
  <si>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</si>
  <si>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</si>
  <si>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</si>
  <si>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</si>
  <si>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</si>
  <si>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</si>
  <si>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</si>
  <si>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</si>
  <si>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</si>
  <si>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</si>
  <si>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</si>
  <si>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</si>
  <si>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</si>
  <si>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</si>
  <si>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</si>
  <si>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</si>
  <si>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</si>
  <si>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</si>
  <si>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</si>
  <si>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</si>
  <si>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</si>
  <si>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</si>
  <si>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</si>
  <si>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</si>
  <si>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</si>
  <si>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</si>
  <si>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</si>
  <si>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</si>
  <si>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</si>
  <si>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</si>
  <si>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</si>
  <si>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</si>
  <si>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</si>
  <si>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</si>
  <si>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</si>
  <si>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</si>
  <si>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</si>
  <si>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</si>
  <si>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</si>
  <si>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</si>
  <si>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</si>
  <si>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</si>
  <si>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</si>
  <si>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</si>
  <si>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</si>
  <si>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</si>
  <si>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</si>
  <si>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</si>
  <si>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</si>
  <si>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</si>
  <si>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</si>
  <si>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</si>
  <si>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</si>
  <si>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</si>
  <si>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</si>
  <si>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</si>
  <si>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</si>
  <si>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</si>
  <si>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</si>
  <si>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</si>
  <si>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</si>
  <si>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</si>
  <si>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</si>
  <si>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</si>
  <si>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</si>
  <si>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</si>
  <si>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</si>
  <si>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</si>
  <si>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</si>
  <si>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</si>
  <si>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</si>
  <si>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</si>
  <si>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</si>
  <si>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</si>
  <si>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</si>
  <si>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</si>
  <si>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</si>
  <si>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</si>
  <si>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</si>
  <si>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</si>
  <si>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</si>
  <si>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</si>
  <si>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</si>
  <si>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</si>
  <si>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</si>
  <si>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</si>
  <si>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</si>
  <si>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</si>
  <si>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</si>
  <si>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</si>
  <si>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</si>
  <si>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</si>
  <si>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</si>
  <si>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</si>
  <si>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</si>
  <si>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</si>
  <si>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</si>
  <si>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</si>
  <si>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</si>
  <si>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</si>
  <si>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</si>
  <si>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</si>
  <si>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</si>
  <si>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</si>
  <si>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</si>
  <si>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</si>
  <si>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</si>
  <si>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</si>
  <si>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</si>
  <si>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</si>
  <si>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</si>
  <si>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</si>
  <si>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</si>
  <si>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</si>
  <si>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</si>
  <si>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</si>
  <si>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</si>
  <si>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</si>
  <si>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</si>
  <si>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</si>
  <si>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</si>
  <si>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</si>
  <si>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</si>
  <si>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</si>
  <si>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</si>
  <si>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</si>
  <si>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</si>
  <si>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</si>
  <si>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</si>
  <si>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</si>
  <si>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</si>
  <si>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</si>
  <si>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</si>
  <si>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</si>
  <si>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</si>
  <si>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</si>
  <si>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</si>
  <si>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</si>
  <si>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</si>
  <si>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</si>
  <si>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</si>
  <si>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</si>
  <si>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</si>
  <si>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</si>
  <si>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</si>
  <si>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</si>
  <si>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</si>
  <si>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</si>
  <si>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</si>
  <si>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</si>
  <si>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</si>
  <si>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</si>
  <si>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</si>
  <si>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</si>
  <si>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</si>
  <si>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</si>
  <si>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</si>
  <si>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</si>
  <si>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</si>
  <si>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</si>
  <si>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</si>
  <si>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</si>
  <si>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</si>
  <si>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</si>
  <si>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</si>
  <si>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</si>
  <si>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</si>
  <si>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</si>
  <si>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</si>
  <si>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</si>
  <si>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</si>
  <si>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</si>
  <si>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</si>
  <si>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</si>
  <si>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</si>
  <si>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</si>
  <si>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</si>
  <si>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</si>
  <si>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</si>
  <si>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</si>
  <si>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</si>
  <si>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</si>
  <si>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</si>
  <si>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</si>
  <si>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</si>
  <si>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</si>
  <si>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</si>
  <si>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</si>
  <si>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</si>
  <si>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</si>
  <si>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</si>
  <si>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</si>
  <si>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</si>
  <si>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</si>
  <si>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</si>
  <si>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</si>
  <si>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</si>
  <si>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</si>
  <si>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</si>
  <si>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</si>
  <si>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</si>
  <si>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</si>
  <si>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</si>
  <si>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</si>
  <si>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</si>
  <si>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</si>
  <si>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</si>
  <si>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</si>
  <si>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</si>
  <si>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</si>
  <si>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</si>
  <si>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</si>
  <si>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</si>
  <si>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</si>
  <si>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</si>
  <si>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</si>
  <si>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</si>
  <si>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</si>
  <si>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</si>
  <si>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</si>
  <si>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</si>
  <si>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</si>
  <si>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</si>
  <si>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</si>
  <si>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</si>
  <si>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</si>
  <si>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</si>
  <si>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</si>
  <si>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</si>
  <si>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</si>
  <si>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</si>
  <si>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</si>
  <si>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</si>
  <si>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</si>
  <si>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</si>
  <si>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</si>
  <si>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</si>
  <si>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</si>
  <si>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</si>
  <si>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</si>
  <si>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</si>
  <si>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</si>
  <si>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</si>
  <si>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</si>
  <si>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</si>
  <si>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</si>
  <si>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</si>
  <si>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</si>
  <si>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</si>
  <si>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</si>
  <si>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</si>
  <si>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</si>
  <si>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</si>
  <si>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</si>
  <si>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</si>
  <si>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</si>
  <si>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</si>
  <si>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</si>
  <si>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</si>
  <si>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</si>
  <si>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</si>
  <si>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</si>
  <si>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</si>
  <si>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</si>
  <si>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</si>
  <si>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</si>
  <si>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</si>
  <si>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</si>
  <si>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</si>
  <si>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</si>
  <si>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</si>
  <si>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</si>
  <si>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</si>
  <si>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</si>
  <si>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</si>
  <si>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</si>
  <si>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</si>
  <si>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</si>
  <si>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</si>
  <si>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</si>
  <si>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</si>
  <si>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</si>
  <si>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</si>
  <si>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</si>
  <si>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</si>
  <si>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</si>
  <si>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</si>
  <si>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</si>
  <si>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</si>
  <si>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</si>
  <si>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</si>
  <si>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</si>
  <si>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</si>
  <si>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</si>
  <si>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</si>
  <si>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</si>
  <si>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</si>
  <si>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</si>
  <si>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</si>
  <si>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</si>
  <si>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</si>
  <si>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</si>
  <si>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</si>
  <si>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</si>
  <si>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</si>
  <si>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</si>
  <si>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</si>
  <si>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</si>
  <si>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</si>
  <si>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</si>
  <si>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</si>
  <si>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</si>
  <si>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</si>
  <si>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</si>
  <si>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</si>
  <si>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</si>
  <si>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</si>
  <si>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</si>
  <si>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</si>
  <si>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</si>
  <si>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</si>
  <si>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</si>
  <si>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</si>
  <si>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</si>
  <si>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</si>
  <si>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</si>
  <si>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</si>
  <si>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</si>
  <si>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</si>
  <si>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</si>
  <si>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</si>
  <si>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</si>
  <si>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</si>
  <si>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</si>
  <si>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</si>
  <si>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</si>
  <si>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</si>
  <si>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</si>
  <si>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</si>
  <si>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</si>
  <si>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</si>
  <si>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</si>
  <si>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</si>
  <si>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</si>
  <si>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</si>
  <si>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</si>
  <si>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</si>
  <si>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</si>
  <si>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</si>
  <si>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</si>
  <si>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</si>
  <si>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</si>
  <si>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</si>
  <si>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</si>
  <si>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</si>
  <si>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</si>
  <si>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</si>
  <si>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</si>
  <si>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</si>
  <si>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</si>
  <si>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</si>
  <si>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</si>
  <si>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</si>
  <si>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</si>
  <si>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</si>
  <si>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</si>
  <si>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</si>
  <si>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</si>
  <si>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</si>
  <si>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</si>
  <si>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</si>
  <si>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</si>
  <si>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</si>
  <si>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</si>
  <si>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</si>
  <si>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</si>
  <si>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</si>
  <si>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</si>
  <si>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</si>
  <si>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</si>
  <si>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</si>
  <si>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</si>
  <si>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</si>
  <si>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</si>
  <si>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</si>
  <si>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</si>
  <si>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</si>
  <si>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</si>
  <si>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</si>
  <si>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</si>
  <si>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</si>
  <si>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</si>
  <si>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</si>
  <si>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</si>
  <si>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</si>
  <si>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</si>
  <si>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</si>
  <si>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</si>
  <si>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</si>
  <si>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</si>
  <si>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</si>
  <si>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</si>
  <si>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</si>
  <si>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</si>
  <si>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</si>
  <si>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</si>
  <si>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</si>
  <si>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</si>
  <si>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</si>
  <si>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</si>
  <si>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</si>
  <si>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</si>
  <si>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</si>
  <si>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</si>
  <si>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</si>
  <si>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</si>
  <si>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</si>
  <si>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</si>
  <si>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</si>
  <si>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</si>
  <si>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</si>
  <si>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</si>
  <si>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</si>
  <si>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</si>
  <si>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</si>
  <si>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</si>
  <si>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</si>
  <si>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</si>
  <si>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</si>
  <si>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</si>
  <si>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</si>
  <si>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</si>
  <si>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</si>
  <si>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</si>
  <si>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</si>
  <si>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</si>
  <si>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</si>
  <si>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</si>
  <si>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</si>
  <si>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</si>
  <si>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</si>
  <si>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</si>
  <si>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</si>
  <si>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</si>
  <si>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</si>
  <si>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</si>
  <si>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</si>
  <si>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</si>
  <si>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</si>
  <si>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</si>
  <si>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</si>
  <si>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</si>
  <si>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</si>
  <si>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</si>
  <si>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</si>
  <si>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</si>
  <si>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</si>
  <si>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</si>
  <si>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</si>
  <si>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</si>
  <si>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</si>
  <si>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</si>
  <si>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</si>
  <si>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</si>
  <si>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</si>
  <si>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</si>
  <si>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</si>
  <si>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</si>
  <si>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</si>
  <si>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</si>
  <si>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</si>
  <si>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</si>
  <si>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</si>
  <si>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</si>
  <si>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</si>
  <si>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</si>
  <si>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</si>
  <si>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</si>
  <si>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</si>
  <si>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</si>
  <si>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</si>
  <si>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</si>
  <si>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</si>
  <si>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</si>
  <si>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</si>
  <si>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</si>
  <si>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</si>
  <si>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</si>
  <si>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</si>
  <si>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</si>
  <si>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</si>
  <si>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</si>
  <si>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</si>
  <si>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</si>
  <si>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</si>
  <si>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</si>
  <si>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</si>
  <si>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</si>
  <si>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</si>
  <si>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</si>
  <si>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</si>
  <si>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</si>
  <si>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</si>
  <si>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</si>
  <si>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</si>
  <si>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</si>
  <si>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</si>
  <si>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</si>
  <si>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</si>
  <si>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</si>
  <si>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</si>
  <si>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</si>
  <si>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</si>
  <si>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</si>
  <si>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</si>
  <si>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</si>
  <si>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</si>
  <si>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</si>
  <si>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</si>
  <si>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</si>
  <si>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</si>
  <si>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</si>
  <si>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</si>
  <si>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</si>
  <si>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</si>
  <si>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</si>
  <si>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</si>
  <si>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</si>
  <si>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</si>
  <si>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</si>
  <si>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</si>
  <si>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</si>
  <si>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</si>
  <si>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</si>
  <si>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</si>
  <si>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</si>
  <si>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</si>
  <si>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</si>
  <si>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</si>
  <si>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</si>
  <si>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</si>
  <si>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</si>
  <si>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</si>
  <si>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</si>
  <si>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</si>
  <si>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</si>
  <si>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</si>
  <si>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</si>
  <si>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</si>
  <si>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</si>
  <si>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</si>
  <si>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</si>
  <si>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</si>
  <si>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</si>
  <si>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</si>
  <si>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</si>
  <si>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</si>
  <si>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</si>
  <si>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</si>
  <si>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</si>
  <si>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</si>
  <si>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</si>
  <si>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</si>
  <si>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</si>
  <si>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</si>
  <si>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</si>
  <si>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</si>
  <si>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</si>
  <si>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</si>
  <si>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</si>
  <si>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</si>
  <si>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</si>
  <si>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</si>
  <si>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</si>
  <si>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</si>
  <si>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</si>
  <si>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</si>
  <si>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</si>
  <si>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</si>
  <si>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</si>
  <si>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</si>
  <si>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</si>
  <si>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</si>
  <si>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</si>
  <si>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</si>
  <si>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</si>
  <si>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</si>
  <si>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</si>
  <si>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</si>
  <si>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</si>
  <si>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</si>
  <si>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</si>
  <si>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</si>
  <si>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</si>
  <si>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</si>
  <si>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</si>
  <si>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</si>
  <si>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</si>
  <si>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</si>
  <si>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</si>
  <si>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</si>
  <si>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</si>
  <si>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</si>
  <si>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</si>
  <si>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</si>
  <si>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</si>
  <si>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</si>
  <si>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</si>
  <si>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</si>
  <si>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</si>
  <si>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</si>
  <si>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</si>
  <si>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</si>
  <si>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</si>
  <si>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</si>
  <si>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</si>
  <si>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</si>
  <si>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</si>
  <si>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</si>
  <si>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</si>
  <si>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</si>
  <si>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</si>
  <si>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</si>
  <si>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</si>
  <si>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</si>
  <si>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</si>
  <si>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</si>
  <si>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</si>
  <si>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</si>
  <si>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</si>
  <si>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</si>
  <si>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</si>
  <si>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</si>
  <si>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</si>
  <si>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</si>
  <si>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</si>
  <si>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</si>
  <si>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</si>
  <si>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</si>
  <si>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</si>
  <si>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</si>
  <si>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</si>
  <si>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</si>
  <si>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</si>
  <si>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</si>
  <si>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</si>
  <si>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</si>
  <si>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</si>
  <si>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</si>
  <si>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</si>
  <si>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</si>
  <si>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</si>
  <si>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</si>
  <si>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</si>
  <si>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</si>
  <si>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</si>
  <si>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</si>
  <si>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</si>
  <si>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</si>
  <si>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</si>
  <si>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</si>
  <si>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</si>
  <si>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</si>
  <si>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</si>
  <si>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</si>
  <si>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</si>
  <si>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</si>
  <si>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</si>
  <si>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</si>
  <si>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</si>
  <si>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</si>
  <si>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</si>
  <si>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</si>
  <si>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</si>
  <si>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</si>
  <si>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</si>
  <si>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</si>
  <si>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</si>
  <si>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</si>
  <si>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</si>
  <si>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</si>
  <si>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</si>
  <si>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</si>
  <si>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</si>
  <si>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</si>
  <si>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</si>
  <si>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</si>
  <si>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</si>
  <si>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</si>
  <si>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</si>
  <si>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</si>
  <si>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</si>
  <si>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</si>
  <si>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</si>
  <si>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</si>
  <si>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</si>
  <si>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</si>
  <si>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</si>
  <si>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</si>
  <si>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</si>
  <si>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</si>
  <si>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</si>
  <si>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</si>
  <si>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</si>
  <si>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</si>
  <si>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</si>
  <si>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</si>
  <si>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</si>
  <si>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</si>
  <si>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</si>
  <si>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</si>
  <si>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</si>
  <si>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</si>
  <si>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</si>
  <si>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</si>
  <si>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</si>
  <si>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</si>
  <si>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</si>
  <si>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</si>
  <si>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</si>
  <si>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</si>
  <si>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</si>
  <si>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</si>
  <si>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</si>
  <si>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</si>
  <si>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</si>
  <si>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</si>
  <si>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</si>
  <si>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</si>
  <si>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</si>
  <si>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</si>
  <si>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</si>
  <si>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</si>
  <si>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</si>
  <si>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</si>
  <si>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</si>
  <si>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</si>
  <si>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</si>
  <si>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</si>
  <si>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</si>
  <si>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</si>
  <si>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</si>
  <si>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</si>
  <si>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</si>
  <si>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</si>
  <si>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</si>
  <si>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</si>
  <si>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</si>
  <si>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</si>
  <si>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</si>
  <si>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</si>
  <si>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</si>
  <si>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</si>
  <si>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</si>
  <si>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</si>
  <si>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</si>
  <si>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</si>
  <si>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</si>
  <si>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</si>
  <si>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</si>
  <si>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</si>
  <si>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</si>
  <si>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</si>
  <si>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</si>
  <si>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</si>
  <si>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</si>
  <si>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</si>
  <si>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</si>
  <si>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</si>
  <si>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</si>
  <si>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</si>
  <si>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</si>
  <si>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</si>
  <si>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</si>
  <si>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</si>
  <si>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</si>
  <si>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</si>
  <si>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</si>
  <si>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</si>
  <si>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</si>
  <si>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</si>
  <si>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</si>
  <si>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</si>
  <si>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</si>
  <si>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</si>
  <si>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</si>
  <si>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</si>
  <si>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</si>
  <si>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</si>
  <si>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</si>
  <si>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</si>
  <si>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</si>
  <si>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</si>
  <si>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</si>
  <si>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</si>
  <si>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</si>
  <si>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</si>
  <si>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</si>
  <si>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</si>
  <si>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</si>
  <si>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</si>
  <si>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</si>
  <si>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</si>
  <si>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</si>
  <si>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</si>
  <si>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</si>
  <si>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</si>
  <si>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</si>
  <si>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</si>
  <si>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</si>
  <si>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</si>
  <si>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</si>
  <si>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</si>
  <si>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</si>
  <si>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</si>
  <si>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</si>
  <si>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</si>
  <si>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</si>
  <si>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</si>
  <si>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</si>
  <si>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</si>
  <si>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</si>
  <si>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</si>
  <si>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</si>
  <si>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</si>
  <si>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</si>
  <si>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</si>
  <si>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</si>
  <si>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</si>
  <si>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</si>
  <si>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</si>
  <si>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</si>
  <si>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</si>
  <si>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</si>
  <si>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</si>
  <si>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</si>
  <si>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</si>
  <si>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</si>
  <si>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</si>
  <si>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</si>
  <si>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</si>
  <si>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</si>
  <si>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</si>
  <si>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</si>
  <si>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</si>
  <si>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</si>
  <si>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</si>
  <si>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</si>
  <si>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</si>
  <si>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</si>
  <si>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</si>
  <si>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</si>
  <si>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</si>
  <si>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</si>
  <si>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</si>
  <si>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</si>
  <si>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</si>
  <si>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</si>
  <si>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</si>
  <si>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</si>
  <si>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</si>
  <si>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</si>
  <si>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</si>
  <si>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</si>
  <si>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</si>
  <si>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</si>
  <si>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</si>
  <si>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</si>
  <si>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</si>
  <si>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</si>
  <si>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</si>
  <si>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</si>
  <si>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</si>
  <si>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</si>
  <si>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</si>
  <si>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</si>
  <si>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</si>
  <si>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</si>
  <si>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</si>
  <si>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</si>
  <si>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</si>
  <si>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</si>
  <si>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</si>
  <si>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</si>
  <si>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</si>
  <si>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</si>
  <si>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</si>
  <si>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</si>
  <si>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</si>
  <si>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</si>
  <si>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</si>
  <si>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</si>
  <si>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</si>
  <si>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</si>
  <si>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</si>
  <si>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</si>
  <si>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</si>
  <si>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</si>
  <si>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</si>
  <si>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</si>
  <si>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</si>
  <si>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</si>
  <si>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</si>
  <si>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</si>
  <si>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</si>
  <si>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</si>
  <si>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</si>
  <si>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</si>
  <si>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</si>
  <si>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</si>
  <si>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</si>
  <si>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</si>
  <si>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</si>
  <si>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</si>
  <si>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</si>
  <si>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</si>
  <si>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</si>
  <si>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</si>
  <si>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</si>
  <si>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</si>
  <si>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</si>
  <si>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</si>
  <si>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</si>
  <si>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</si>
  <si>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</si>
  <si>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</si>
  <si>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</si>
  <si>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</si>
  <si>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</si>
  <si>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</si>
  <si>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</si>
  <si>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</si>
  <si>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</si>
  <si>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</si>
  <si>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</si>
  <si>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</si>
  <si>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</si>
  <si>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</si>
  <si>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</si>
  <si>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</si>
  <si>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</si>
  <si>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</si>
  <si>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</si>
  <si>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</si>
  <si>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</si>
  <si>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</si>
  <si>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</si>
  <si>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</si>
  <si>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</si>
  <si>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</si>
  <si>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</si>
  <si>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</si>
  <si>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</si>
  <si>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</si>
  <si>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</si>
  <si>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</si>
  <si>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</si>
  <si>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</si>
  <si>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</si>
  <si>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</si>
  <si>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</si>
  <si>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</si>
  <si>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</si>
  <si>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</si>
  <si>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</si>
  <si>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</si>
  <si>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</si>
  <si>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</si>
  <si>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</si>
  <si>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</si>
  <si>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</si>
  <si>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</si>
  <si>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</si>
  <si>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</si>
  <si>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</si>
  <si>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</si>
  <si>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</si>
  <si>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</si>
  <si>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</si>
  <si>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</si>
  <si>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</si>
  <si>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</si>
  <si>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</si>
  <si>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</si>
  <si>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</si>
  <si>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</si>
  <si>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</si>
  <si>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</si>
  <si>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</si>
  <si>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</si>
  <si>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</si>
  <si>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</si>
  <si>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</si>
  <si>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</si>
  <si>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</si>
  <si>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</si>
  <si>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</si>
  <si>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</si>
  <si>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</si>
  <si>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</si>
  <si>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</si>
  <si>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</si>
  <si>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</si>
  <si>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</si>
  <si>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</si>
  <si>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</si>
  <si>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</si>
  <si>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</si>
  <si>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</si>
  <si>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</si>
  <si>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</si>
  <si>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</si>
  <si>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</si>
  <si>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</si>
  <si>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</si>
  <si>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</si>
  <si>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</si>
  <si>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</si>
  <si>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</si>
  <si>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</si>
  <si>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</si>
  <si>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</si>
  <si>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</si>
  <si>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</si>
  <si>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</si>
  <si>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</si>
  <si>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</si>
  <si>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</si>
  <si>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</si>
  <si>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</si>
  <si>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</si>
  <si>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</si>
  <si>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</si>
  <si>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</si>
  <si>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</si>
  <si>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</si>
  <si>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</si>
  <si>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</si>
  <si>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</si>
  <si>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</si>
  <si>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</si>
  <si>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</si>
  <si>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</si>
  <si>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</si>
  <si>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</si>
  <si>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</si>
  <si>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</si>
  <si>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</si>
  <si>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</si>
  <si>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</si>
  <si>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</si>
  <si>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</si>
  <si>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</si>
  <si>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</si>
  <si>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</si>
  <si>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</si>
  <si>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</si>
  <si>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</si>
  <si>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</si>
  <si>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</si>
  <si>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</si>
  <si>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</si>
  <si>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</si>
  <si>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</si>
  <si>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</si>
  <si>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</si>
  <si>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</si>
  <si>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</si>
  <si>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</si>
  <si>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</si>
  <si>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</si>
  <si>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</si>
  <si>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</si>
  <si>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</si>
  <si>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</si>
  <si>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</si>
  <si>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</si>
  <si>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</si>
  <si>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</si>
  <si>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</si>
  <si>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</si>
  <si>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</si>
  <si>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</si>
  <si>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</si>
  <si>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</si>
  <si>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</si>
  <si>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</si>
  <si>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</si>
  <si>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</si>
  <si>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</si>
  <si>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</si>
  <si>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</si>
  <si>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</si>
  <si>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</si>
  <si>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</si>
  <si>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</si>
  <si>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</si>
  <si>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</si>
  <si>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</si>
  <si>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</si>
  <si>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</si>
  <si>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</si>
  <si>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</si>
  <si>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</si>
  <si>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</si>
  <si>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</si>
  <si>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</si>
  <si>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</si>
  <si>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</si>
  <si>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</si>
  <si>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</si>
  <si>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</si>
  <si>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</si>
  <si>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</si>
  <si>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</si>
  <si>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</si>
  <si>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</si>
  <si>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</si>
  <si>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</si>
  <si>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</si>
  <si>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</si>
  <si>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</si>
  <si>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</si>
  <si>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</si>
  <si>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</si>
  <si>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</si>
  <si>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</si>
  <si>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</si>
  <si>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</si>
  <si>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</si>
  <si>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</si>
  <si>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</si>
  <si>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</si>
  <si>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</si>
  <si>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</si>
  <si>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</si>
  <si>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</si>
  <si>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</si>
  <si>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</si>
  <si>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</si>
  <si>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</si>
  <si>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</si>
  <si>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</si>
  <si>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</si>
  <si>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</si>
  <si>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</si>
  <si>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</si>
  <si>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</si>
  <si>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</si>
  <si>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</si>
  <si>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</si>
  <si>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</si>
  <si>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</si>
  <si>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</si>
  <si>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</si>
  <si>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</si>
  <si>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</si>
  <si>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</si>
  <si>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</si>
  <si>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</si>
  <si>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</si>
  <si>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</si>
  <si>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</si>
  <si>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</si>
  <si>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</si>
  <si>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</si>
  <si>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</si>
  <si>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</si>
  <si>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</si>
  <si>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</si>
  <si>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</si>
  <si>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</si>
  <si>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</si>
  <si>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</si>
  <si>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</si>
  <si>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</si>
  <si>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</si>
  <si>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</si>
  <si>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</si>
  <si>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</si>
  <si>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</si>
  <si>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</si>
  <si>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</si>
  <si>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</si>
  <si>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</si>
  <si>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</si>
  <si>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</si>
  <si>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</si>
  <si>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</si>
  <si>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</si>
  <si>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</si>
  <si>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</si>
  <si>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</si>
  <si>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</si>
  <si>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</si>
  <si>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</si>
  <si>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</si>
  <si>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</si>
  <si>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</si>
  <si>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</si>
  <si>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</si>
  <si>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</si>
  <si>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</si>
  <si>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</si>
  <si>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</si>
  <si>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</si>
  <si>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</si>
  <si>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</si>
  <si>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</si>
  <si>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</si>
  <si>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</si>
  <si>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</si>
  <si>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</si>
  <si>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</si>
  <si>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</si>
  <si>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</si>
  <si>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</si>
  <si>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</si>
  <si>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</si>
  <si>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</si>
  <si>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</si>
  <si>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</si>
  <si>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</si>
  <si>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</si>
  <si>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</si>
  <si>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</si>
  <si>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</si>
  <si>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</si>
  <si>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</si>
  <si>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</si>
  <si>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</si>
  <si>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</si>
  <si>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</si>
  <si>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</si>
  <si>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</si>
  <si>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</si>
  <si>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</si>
  <si>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</si>
  <si>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</si>
  <si>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</si>
  <si>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</si>
  <si>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</si>
  <si>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</si>
  <si>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</si>
  <si>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</si>
  <si>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</si>
  <si>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</si>
  <si>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</si>
  <si>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</si>
  <si>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</si>
  <si>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</si>
  <si>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</si>
  <si>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</si>
  <si>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</si>
  <si>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</si>
  <si>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</si>
  <si>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</si>
  <si>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</si>
  <si>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</si>
  <si>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</si>
  <si>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</si>
  <si>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</si>
  <si>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</si>
  <si>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</si>
  <si>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</si>
  <si>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</si>
  <si>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</si>
  <si>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</si>
  <si>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</si>
  <si>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</si>
  <si>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</si>
  <si>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</si>
  <si>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</si>
  <si>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</si>
  <si>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</si>
  <si>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</si>
  <si>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</si>
  <si>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</si>
  <si>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</si>
  <si>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</si>
  <si>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</si>
  <si>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</si>
  <si>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</si>
  <si>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</si>
  <si>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</si>
  <si>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</si>
  <si>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</si>
  <si>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</si>
  <si>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</si>
  <si>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</si>
  <si>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</si>
  <si>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</si>
  <si>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</si>
  <si>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</si>
  <si>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</si>
  <si>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</si>
  <si>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</si>
  <si>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</si>
  <si>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</si>
  <si>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</si>
  <si>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</si>
  <si>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</si>
  <si>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</si>
  <si>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</si>
  <si>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</si>
  <si>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</si>
  <si>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</si>
  <si>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</si>
  <si>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</si>
  <si>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</si>
  <si>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</si>
  <si>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</si>
  <si>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</si>
  <si>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</si>
  <si>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</si>
  <si>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</si>
  <si>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</si>
  <si>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</si>
  <si>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</si>
  <si>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</si>
  <si>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</si>
  <si>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</si>
  <si>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</si>
  <si>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</si>
  <si>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</si>
  <si>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</si>
  <si>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</si>
  <si>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</si>
  <si>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</si>
  <si>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</si>
  <si>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</si>
  <si>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</si>
  <si>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</si>
  <si>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</si>
  <si>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</si>
  <si>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</si>
  <si>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</si>
  <si>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</si>
  <si>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</si>
  <si>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</si>
  <si>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</si>
  <si>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</si>
  <si>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</si>
  <si>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</si>
  <si>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</si>
  <si>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</si>
  <si>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</si>
  <si>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</si>
  <si>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</si>
  <si>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</si>
  <si>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</si>
  <si>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</si>
  <si>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</si>
  <si>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</si>
  <si>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</si>
  <si>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</si>
  <si>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</si>
  <si>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</si>
  <si>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</si>
  <si>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</si>
  <si>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</si>
  <si>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</si>
  <si>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</si>
  <si>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</si>
  <si>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</si>
  <si>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</si>
  <si>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</si>
  <si>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</si>
  <si>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</si>
  <si>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</si>
  <si>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</si>
  <si>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</si>
  <si>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</si>
  <si>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</si>
  <si>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</si>
  <si>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</si>
  <si>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</si>
  <si>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</si>
  <si>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</si>
  <si>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</si>
  <si>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</si>
  <si>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</si>
  <si>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</si>
  <si>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</si>
  <si>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</si>
  <si>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</si>
  <si>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</si>
  <si>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</si>
  <si>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</si>
  <si>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</si>
  <si>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</si>
  <si>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</si>
  <si>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</si>
  <si>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</si>
  <si>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</si>
  <si>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</si>
  <si>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</si>
  <si>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</si>
  <si>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</si>
  <si>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</si>
  <si>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</si>
  <si>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</si>
  <si>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</si>
  <si>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</si>
  <si>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</si>
  <si>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</si>
  <si>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</si>
  <si>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</si>
  <si>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</si>
  <si>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</si>
  <si>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</si>
  <si>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</si>
  <si>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</si>
  <si>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</si>
  <si>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</si>
  <si>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</si>
  <si>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</si>
  <si>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</si>
  <si>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</si>
  <si>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</si>
  <si>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</si>
  <si>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</si>
  <si>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</si>
  <si>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</si>
  <si>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</si>
  <si>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</si>
  <si>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</si>
  <si>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</si>
  <si>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</si>
  <si>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</si>
  <si>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</si>
  <si>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</si>
  <si>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</si>
  <si>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</si>
  <si>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</si>
  <si>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</si>
  <si>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</si>
  <si>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</si>
  <si>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</si>
  <si>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</si>
  <si>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</si>
  <si>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</si>
  <si>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</si>
  <si>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</si>
  <si>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</si>
  <si>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</si>
  <si>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</si>
  <si>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</si>
  <si>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</si>
  <si>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</si>
  <si>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</si>
  <si>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</si>
  <si>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</si>
  <si>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</si>
  <si>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</si>
  <si>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</si>
  <si>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</si>
  <si>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</si>
  <si>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</si>
  <si>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</si>
  <si>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</si>
  <si>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</si>
  <si>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</si>
  <si>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</si>
  <si>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</si>
  <si>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</si>
  <si>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</si>
  <si>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</si>
  <si>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</si>
  <si>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</si>
  <si>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</si>
  <si>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</si>
  <si>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</si>
  <si>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</si>
  <si>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</si>
  <si>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</si>
  <si>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</si>
  <si>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</si>
  <si>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</si>
  <si>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</si>
  <si>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</si>
  <si>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</si>
  <si>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</si>
  <si>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</si>
  <si>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</si>
  <si>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</si>
  <si>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</si>
  <si>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</si>
  <si>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</si>
  <si>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</si>
  <si>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</si>
  <si>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</si>
  <si>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</si>
  <si>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</si>
  <si>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</si>
  <si>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</si>
  <si>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</si>
  <si>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</si>
  <si>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</si>
  <si>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</si>
  <si>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</si>
  <si>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</si>
  <si>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</si>
  <si>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</si>
  <si>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</si>
  <si>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</si>
  <si>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</si>
  <si>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</si>
  <si>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</si>
  <si>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</si>
  <si>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</si>
  <si>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</si>
  <si>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</si>
  <si>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</si>
  <si>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</si>
  <si>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</si>
  <si>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</si>
  <si>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</si>
  <si>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</si>
  <si>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</si>
  <si>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</si>
  <si>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</si>
  <si>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</si>
  <si>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</si>
  <si>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</si>
  <si>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</si>
  <si>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</si>
  <si>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</si>
  <si>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</si>
  <si>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</si>
  <si>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</si>
  <si>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</si>
  <si>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</si>
  <si>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</si>
  <si>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</si>
  <si>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</si>
  <si>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</si>
  <si>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</si>
  <si>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</si>
  <si>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</si>
  <si>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</si>
  <si>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</si>
  <si>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</si>
  <si>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</si>
  <si>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</si>
  <si>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</si>
  <si>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</si>
  <si>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</si>
  <si>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</si>
  <si>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</si>
  <si>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</si>
  <si>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</si>
  <si>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</si>
  <si>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</si>
  <si>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</si>
  <si>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</si>
  <si>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</si>
  <si>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</si>
  <si>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</si>
  <si>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</si>
  <si>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</si>
  <si>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</si>
  <si>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</si>
  <si>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</si>
  <si>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</si>
  <si>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</si>
  <si>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</si>
  <si>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</si>
  <si>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</si>
  <si>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</si>
  <si>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</si>
  <si>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</si>
  <si>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</si>
  <si>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</si>
  <si>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</si>
  <si>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</si>
  <si>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</si>
  <si>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</si>
  <si>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</si>
  <si>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</si>
  <si>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</si>
  <si>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</si>
  <si>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</si>
  <si>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</si>
  <si>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</si>
  <si>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</si>
  <si>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</si>
  <si>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</si>
  <si>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</si>
  <si>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</si>
  <si>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</si>
  <si>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</si>
  <si>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</si>
  <si>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</si>
  <si>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</si>
  <si>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</si>
  <si>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</si>
  <si>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</si>
  <si>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</si>
  <si>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</si>
  <si>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</si>
  <si>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</si>
  <si>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</si>
  <si>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</si>
  <si>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</si>
  <si>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</si>
  <si>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</si>
  <si>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</si>
  <si>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</si>
  <si>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</si>
  <si>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</si>
  <si>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</si>
  <si>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</si>
  <si>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</si>
  <si>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</si>
  <si>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</si>
  <si>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</si>
  <si>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</si>
  <si>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</si>
  <si>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</si>
  <si>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</si>
  <si>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</si>
  <si>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</si>
  <si>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</si>
  <si>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</si>
  <si>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</si>
  <si>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</si>
  <si>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</si>
  <si>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</si>
  <si>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</si>
  <si>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</si>
  <si>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</si>
  <si>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</si>
  <si>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</si>
  <si>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</si>
  <si>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</si>
  <si>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</si>
  <si>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</si>
  <si>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</si>
  <si>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</si>
  <si>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</si>
  <si>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</si>
  <si>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</si>
  <si>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</si>
  <si>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</si>
  <si>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</si>
  <si>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</si>
  <si>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</si>
  <si>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</si>
  <si>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</si>
  <si>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</si>
  <si>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</si>
  <si>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</si>
  <si>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</si>
  <si>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</si>
  <si>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</si>
  <si>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</si>
  <si>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</si>
  <si>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</si>
  <si>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</si>
  <si>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</si>
  <si>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</si>
  <si>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</si>
  <si>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</si>
  <si>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</si>
  <si>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</si>
  <si>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</si>
  <si>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</si>
  <si>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</si>
  <si>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</si>
  <si>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</si>
  <si>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</si>
  <si>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</si>
  <si>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</si>
  <si>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</si>
  <si>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</si>
  <si>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</si>
  <si>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</si>
  <si>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</si>
  <si>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</si>
  <si>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</si>
  <si>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</si>
  <si>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</si>
  <si>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</si>
  <si>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</si>
  <si>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</si>
  <si>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</si>
  <si>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</si>
  <si>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</si>
  <si>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</si>
  <si>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</si>
  <si>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</si>
  <si>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</si>
  <si>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</si>
  <si>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</si>
  <si>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</si>
  <si>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</si>
  <si>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</si>
  <si>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</si>
  <si>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</si>
  <si>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</si>
  <si>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</si>
  <si>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</si>
  <si>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</si>
  <si>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</si>
  <si>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</si>
  <si>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</si>
  <si>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</si>
  <si>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</si>
  <si>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</si>
  <si>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</si>
  <si>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</si>
  <si>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</si>
  <si>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</si>
  <si>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</si>
  <si>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</si>
  <si>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</si>
  <si>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</si>
  <si>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</si>
  <si>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</si>
  <si>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</si>
  <si>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</si>
  <si>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</si>
  <si>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</si>
  <si>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</si>
  <si>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</si>
  <si>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</si>
  <si>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</si>
  <si>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</si>
  <si>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</si>
  <si>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</si>
  <si>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</si>
  <si>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</si>
  <si>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</si>
  <si>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</si>
  <si>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</si>
  <si>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</si>
  <si>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</si>
  <si>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</si>
  <si>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</si>
  <si>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</si>
  <si>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</si>
  <si>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</si>
  <si>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</si>
  <si>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</si>
  <si>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</si>
  <si>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</si>
  <si>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</si>
  <si>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</si>
  <si>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</si>
  <si>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</si>
  <si>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</si>
  <si>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</si>
  <si>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</si>
  <si>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</si>
  <si>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</si>
  <si>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</si>
  <si>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</si>
  <si>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</si>
  <si>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</si>
  <si>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</si>
  <si>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</si>
  <si>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</si>
  <si>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</si>
  <si>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</si>
  <si>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</si>
  <si>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</si>
  <si>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</si>
  <si>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</si>
  <si>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</si>
  <si>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</si>
  <si>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</si>
  <si>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</si>
  <si>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</si>
  <si>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</si>
  <si>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</si>
  <si>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</si>
  <si>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</si>
  <si>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</si>
  <si>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</si>
  <si>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</si>
  <si>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</si>
  <si>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</si>
  <si>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</si>
  <si>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</si>
  <si>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</si>
  <si>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</si>
  <si>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</si>
  <si>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</si>
  <si>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</si>
  <si>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</si>
  <si>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</si>
  <si>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</si>
  <si>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</si>
  <si>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</si>
  <si>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</si>
  <si>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</si>
  <si>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</si>
  <si>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</si>
  <si>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</si>
  <si>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</si>
  <si>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</si>
  <si>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</si>
  <si>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</si>
  <si>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</si>
  <si>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</si>
  <si>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</si>
  <si>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</si>
  <si>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</si>
  <si>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</si>
  <si>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</si>
  <si>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</si>
  <si>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</si>
  <si>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</si>
  <si>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</si>
  <si>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</si>
  <si>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</si>
  <si>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</si>
  <si>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</si>
  <si>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</si>
  <si>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</si>
  <si>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</si>
  <si>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</si>
  <si>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</si>
  <si>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</si>
  <si>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</si>
  <si>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</si>
  <si>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</si>
  <si>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</si>
  <si>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</si>
  <si>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</si>
  <si>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</si>
  <si>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</si>
  <si>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</si>
  <si>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</si>
  <si>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</si>
  <si>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</si>
  <si>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</si>
  <si>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</si>
  <si>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</si>
  <si>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</si>
  <si>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</si>
  <si>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</si>
  <si>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</si>
  <si>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</si>
  <si>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</si>
  <si>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</si>
  <si>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</si>
  <si>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</si>
  <si>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</si>
  <si>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</si>
  <si>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</si>
  <si>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</si>
  <si>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</si>
  <si>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</si>
  <si>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</si>
  <si>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</si>
  <si>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</si>
  <si>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</si>
  <si>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</si>
  <si>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</si>
  <si>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</si>
  <si>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</si>
  <si>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</si>
  <si>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</si>
  <si>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</si>
  <si>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</si>
  <si>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</si>
  <si>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</si>
  <si>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</si>
  <si>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</si>
  <si>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</si>
  <si>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</si>
  <si>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</si>
  <si>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</si>
  <si>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</si>
  <si>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</si>
  <si>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</si>
  <si>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</si>
  <si>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</si>
  <si>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</si>
  <si>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</si>
  <si>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</si>
  <si>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</si>
  <si>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</si>
  <si>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</si>
  <si>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</si>
  <si>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</si>
  <si>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</si>
  <si>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</si>
  <si>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</si>
  <si>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</si>
  <si>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</si>
  <si>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</si>
  <si>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</si>
  <si>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</si>
  <si>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</si>
  <si>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</si>
  <si>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</si>
  <si>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</si>
  <si>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</si>
  <si>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</si>
  <si>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</si>
  <si>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</si>
  <si>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</si>
  <si>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</si>
  <si>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</si>
  <si>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</si>
  <si>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</si>
  <si>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</si>
  <si>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</si>
  <si>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</si>
  <si>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</si>
  <si>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</si>
  <si>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</si>
  <si>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</si>
  <si>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</si>
  <si>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</si>
  <si>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</si>
  <si>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</si>
  <si>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</si>
  <si>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</si>
  <si>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</si>
  <si>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</si>
  <si>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</si>
  <si>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</si>
  <si>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</si>
  <si>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</si>
  <si>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</si>
  <si>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</si>
  <si>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</si>
  <si>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</si>
  <si>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</si>
  <si>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</si>
  <si>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</si>
  <si>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</si>
  <si>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</si>
  <si>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</si>
  <si>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</si>
  <si>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</si>
  <si>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</si>
  <si>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</si>
  <si>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</si>
  <si>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</si>
  <si>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</si>
  <si>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</si>
  <si>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</si>
  <si>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</si>
  <si>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</si>
  <si>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</si>
  <si>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</si>
  <si>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</si>
  <si>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</si>
  <si>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</si>
  <si>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</si>
  <si>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</si>
  <si>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</si>
  <si>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</si>
  <si>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</si>
  <si>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</si>
  <si>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</si>
  <si>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</si>
  <si>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</si>
  <si>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</si>
  <si>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</si>
  <si>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</si>
  <si>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</si>
  <si>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</si>
  <si>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</si>
  <si>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</si>
  <si>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</si>
  <si>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</si>
  <si>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</si>
  <si>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</si>
  <si>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</si>
  <si>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</si>
  <si>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</si>
  <si>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</si>
  <si>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</si>
  <si>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</si>
  <si>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</si>
  <si>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</si>
  <si>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</si>
  <si>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</si>
  <si>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</si>
  <si>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</si>
  <si>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</si>
  <si>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</si>
  <si>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</si>
  <si>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</si>
  <si>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</si>
  <si>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</si>
  <si>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</si>
  <si>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</si>
  <si>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</si>
  <si>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</si>
  <si>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</si>
  <si>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</si>
  <si>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</si>
  <si>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</si>
  <si>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</si>
  <si>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</si>
  <si>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</si>
  <si>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</si>
  <si>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</si>
  <si>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</si>
  <si>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</si>
  <si>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</si>
  <si>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</si>
  <si>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</si>
  <si>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</si>
  <si>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</si>
  <si>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</si>
  <si>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</si>
  <si>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</si>
  <si>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</si>
  <si>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</si>
  <si>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</si>
  <si>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</si>
  <si>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</si>
  <si>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</si>
  <si>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</si>
  <si>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</si>
  <si>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</si>
  <si>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</si>
  <si>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</si>
  <si>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</si>
  <si>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</si>
  <si>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</si>
  <si>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</si>
  <si>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</si>
  <si>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</si>
  <si>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</si>
  <si>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</si>
  <si>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</si>
  <si>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</si>
  <si>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</si>
  <si>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</si>
  <si>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</si>
  <si>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</si>
  <si>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</si>
  <si>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</si>
  <si>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</si>
  <si>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</si>
  <si>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</si>
  <si>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</si>
  <si>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</si>
  <si>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</si>
  <si>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</si>
  <si>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</si>
  <si>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</si>
  <si>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</si>
  <si>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</si>
  <si>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</si>
  <si>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</si>
  <si>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</si>
  <si>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</si>
  <si>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</si>
  <si>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</si>
  <si>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</si>
  <si>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</si>
  <si>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</si>
  <si>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</si>
  <si>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</si>
  <si>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</si>
  <si>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</si>
  <si>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</si>
  <si>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</si>
  <si>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</si>
  <si>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</si>
  <si>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</si>
  <si>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</si>
  <si>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</si>
  <si>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</si>
  <si>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</si>
  <si>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</si>
  <si>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</si>
  <si>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</si>
  <si>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</si>
  <si>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</si>
  <si>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</si>
  <si>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</si>
  <si>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</si>
  <si>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</si>
  <si>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</si>
  <si>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</si>
  <si>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</si>
  <si>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</si>
  <si>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</si>
  <si>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</si>
  <si>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</si>
  <si>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</si>
  <si>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</si>
  <si>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</si>
  <si>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</si>
  <si>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</si>
  <si>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</si>
  <si>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</si>
  <si>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</si>
  <si>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</si>
  <si>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</si>
  <si>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</si>
  <si>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</si>
  <si>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</si>
  <si>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</si>
  <si>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</si>
  <si>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</si>
  <si>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</si>
  <si>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</si>
  <si>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</si>
  <si>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</si>
  <si>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</si>
  <si>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</si>
  <si>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</si>
  <si>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</si>
  <si>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</si>
  <si>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</si>
  <si>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</si>
  <si>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</si>
  <si>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</si>
  <si>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</si>
  <si>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</si>
  <si>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</si>
  <si>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</si>
  <si>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</si>
  <si>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</si>
  <si>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</si>
  <si>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</si>
  <si>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</si>
  <si>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</si>
  <si>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</si>
  <si>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</si>
  <si>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</si>
  <si>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</si>
  <si>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</si>
  <si>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</si>
  <si>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</si>
  <si>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</si>
  <si>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</si>
  <si>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</si>
  <si>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</si>
  <si>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</si>
  <si>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</si>
  <si>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</si>
  <si>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</si>
  <si>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</si>
  <si>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</si>
  <si>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</si>
  <si>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</si>
  <si>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</si>
  <si>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</si>
  <si>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</si>
  <si>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</si>
  <si>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</si>
  <si>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</si>
  <si>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</si>
  <si>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</si>
  <si>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</si>
  <si>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</si>
  <si>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</si>
  <si>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</si>
  <si>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</si>
  <si>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</si>
  <si>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</si>
  <si>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</si>
  <si>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</si>
  <si>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</si>
  <si>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</si>
  <si>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</si>
  <si>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</si>
  <si>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</si>
  <si>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</si>
  <si>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</si>
  <si>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</si>
  <si>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</si>
  <si>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</si>
  <si>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</si>
  <si>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</si>
  <si>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</si>
  <si>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</si>
  <si>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</si>
  <si>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</si>
  <si>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</si>
  <si>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</si>
  <si>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</si>
  <si>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</si>
  <si>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</si>
  <si>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</si>
  <si>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</si>
  <si>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</si>
  <si>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</si>
  <si>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</si>
  <si>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</si>
  <si>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</si>
  <si>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</si>
  <si>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</si>
  <si>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</si>
  <si>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</si>
  <si>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</si>
  <si>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</si>
  <si>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</si>
  <si>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</si>
  <si>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</si>
  <si>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</si>
  <si>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</si>
  <si>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</si>
  <si>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</si>
  <si>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</si>
  <si>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</si>
  <si>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</si>
  <si>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</si>
  <si>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</si>
  <si>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</si>
  <si>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</si>
  <si>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</si>
  <si>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</si>
  <si>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</si>
  <si>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</si>
  <si>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</si>
  <si>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</si>
  <si>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</si>
  <si>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</si>
  <si>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</si>
  <si>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</si>
  <si>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</si>
  <si>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</si>
  <si>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</si>
  <si>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</si>
  <si>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</si>
  <si>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</si>
  <si>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</si>
  <si>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</si>
  <si>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</si>
  <si>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</si>
  <si>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</si>
  <si>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</si>
  <si>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</si>
  <si>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</si>
  <si>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</si>
  <si>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</si>
  <si>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</si>
  <si>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</si>
  <si>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</si>
  <si>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</si>
  <si>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</si>
  <si>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</si>
  <si>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</si>
  <si>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</si>
  <si>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</si>
  <si>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</si>
  <si>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</si>
  <si>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</si>
  <si>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</si>
  <si>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</si>
  <si>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</si>
  <si>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</si>
  <si>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</si>
  <si>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</si>
  <si>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</si>
  <si>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</si>
  <si>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</si>
  <si>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</si>
  <si>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</si>
  <si>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</si>
  <si>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</si>
  <si>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</si>
  <si>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</si>
  <si>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</si>
  <si>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</si>
  <si>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</si>
  <si>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</si>
  <si>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</si>
  <si>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</si>
  <si>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</si>
  <si>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</si>
  <si>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</si>
  <si>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</si>
  <si>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</si>
  <si>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</si>
  <si>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</si>
  <si>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</si>
  <si>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</si>
  <si>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</si>
  <si>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</si>
  <si>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</si>
  <si>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</si>
  <si>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</si>
  <si>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</si>
  <si>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</si>
  <si>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</si>
  <si>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</si>
  <si>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</si>
  <si>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</si>
  <si>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</si>
  <si>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</si>
  <si>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</si>
  <si>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</si>
  <si>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</si>
  <si>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</si>
  <si>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</si>
  <si>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</si>
  <si>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</si>
  <si>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</si>
  <si>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</si>
  <si>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</si>
  <si>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</si>
  <si>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</si>
  <si>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</si>
  <si>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</si>
  <si>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</si>
  <si>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</si>
  <si>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</si>
  <si>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</si>
  <si>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</si>
  <si>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</si>
  <si>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</si>
  <si>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</si>
  <si>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</si>
  <si>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</si>
  <si>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</si>
  <si>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</si>
  <si>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</si>
  <si>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</si>
  <si>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</si>
  <si>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</si>
  <si>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</si>
  <si>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</si>
  <si>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</si>
  <si>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</si>
  <si>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</si>
  <si>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</si>
  <si>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</si>
  <si>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</si>
  <si>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</si>
  <si>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</si>
  <si>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</si>
  <si>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</si>
  <si>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</si>
  <si>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</si>
  <si>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</si>
  <si>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</si>
  <si>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</si>
  <si>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</si>
  <si>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</si>
  <si>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</si>
  <si>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</si>
  <si>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</si>
  <si>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</si>
  <si>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</si>
  <si>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</si>
  <si>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</si>
  <si>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</si>
  <si>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</si>
  <si>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</si>
  <si>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</si>
  <si>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</si>
  <si>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</si>
  <si>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</si>
  <si>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</si>
  <si>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</si>
  <si>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</si>
  <si>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</si>
  <si>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</si>
  <si>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</si>
  <si>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</si>
  <si>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</si>
  <si>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</si>
  <si>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</si>
  <si>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</si>
  <si>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</si>
  <si>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</si>
  <si>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</si>
  <si>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</si>
  <si>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</si>
  <si>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</si>
  <si>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</si>
  <si>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</si>
  <si>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</si>
  <si>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</si>
  <si>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</si>
  <si>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</si>
  <si>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</si>
  <si>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</si>
  <si>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</si>
  <si>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</si>
  <si>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</si>
  <si>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</si>
  <si>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</si>
  <si>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</si>
  <si>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</si>
  <si>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</si>
  <si>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</si>
  <si>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</si>
  <si>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</si>
  <si>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</si>
  <si>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</si>
  <si>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</si>
  <si>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</si>
  <si>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</si>
  <si>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</si>
  <si>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</si>
  <si>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</si>
  <si>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</si>
  <si>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</si>
  <si>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</si>
  <si>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</si>
  <si>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</si>
  <si>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</si>
  <si>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</si>
  <si>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</si>
  <si>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</si>
  <si>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</si>
  <si>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</si>
  <si>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</si>
  <si>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</si>
  <si>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</si>
  <si>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</si>
  <si>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</si>
  <si>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</si>
  <si>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</si>
  <si>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</si>
  <si>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</si>
  <si>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</si>
  <si>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</si>
  <si>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</si>
  <si>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</si>
  <si>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</si>
  <si>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</si>
  <si>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</si>
  <si>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</si>
  <si>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</si>
  <si>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</si>
  <si>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</si>
  <si>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</si>
  <si>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</si>
  <si>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</si>
  <si>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</si>
  <si>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</si>
  <si>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</si>
  <si>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</si>
  <si>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</si>
  <si>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</si>
  <si>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</si>
  <si>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</si>
  <si>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</si>
  <si>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</si>
  <si>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</si>
  <si>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</si>
  <si>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</si>
  <si>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</si>
  <si>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</si>
  <si>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</si>
  <si>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</si>
  <si>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</si>
  <si>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</si>
  <si>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</si>
  <si>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</si>
  <si>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</si>
  <si>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</si>
  <si>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</si>
  <si>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</si>
  <si>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</si>
  <si>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</si>
  <si>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</si>
  <si>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</si>
  <si>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</si>
  <si>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</si>
  <si>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</si>
  <si>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</si>
  <si>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</si>
  <si>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</si>
  <si>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</si>
  <si>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</si>
  <si>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</si>
  <si>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</si>
  <si>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</si>
  <si>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</si>
  <si>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</si>
  <si>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</si>
  <si>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</si>
  <si>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</si>
  <si>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</si>
  <si>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</si>
  <si>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</si>
  <si>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</si>
  <si>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</si>
  <si>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</si>
  <si>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</si>
  <si>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</si>
  <si>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</si>
  <si>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</si>
  <si>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</si>
  <si>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</si>
  <si>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</si>
  <si>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</si>
  <si>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</si>
  <si>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</si>
  <si>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</si>
  <si>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</si>
  <si>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</si>
  <si>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</si>
  <si>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</si>
  <si>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</si>
  <si>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</si>
  <si>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</si>
  <si>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</si>
  <si>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</si>
  <si>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</si>
  <si>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</si>
  <si>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</si>
  <si>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</si>
  <si>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</si>
  <si>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</si>
  <si>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</si>
  <si>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</si>
  <si>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</si>
  <si>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</si>
  <si>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</si>
  <si>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</si>
  <si>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</si>
  <si>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</si>
  <si>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</si>
  <si>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</si>
  <si>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</si>
  <si>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</si>
  <si>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</si>
  <si>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</si>
  <si>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</si>
  <si>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</si>
  <si>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</si>
  <si>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</si>
  <si>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</si>
  <si>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</si>
  <si>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</si>
  <si>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</si>
  <si>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</si>
  <si>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</si>
  <si>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</si>
  <si>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</si>
  <si>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</si>
  <si>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</si>
  <si>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</si>
  <si>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</si>
  <si>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</si>
  <si>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</si>
  <si>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</si>
  <si>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</si>
  <si>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</si>
  <si>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</si>
  <si>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</si>
  <si>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</si>
  <si>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</si>
  <si>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</si>
  <si>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</si>
  <si>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</si>
  <si>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</si>
  <si>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</si>
  <si>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</si>
  <si>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</si>
  <si>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</si>
  <si>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</si>
  <si>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</si>
  <si>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</si>
  <si>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</si>
  <si>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</si>
  <si>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</si>
  <si>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</si>
  <si>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</si>
  <si>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</si>
  <si>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</si>
  <si>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</si>
  <si>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</si>
  <si>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</si>
  <si>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</si>
  <si>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</si>
  <si>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</si>
  <si>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</si>
  <si>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</si>
  <si>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</si>
  <si>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</si>
  <si>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</si>
  <si>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</si>
  <si>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</si>
  <si>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</si>
  <si>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</si>
  <si>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</si>
  <si>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</si>
  <si>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</si>
  <si>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</si>
  <si>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</si>
  <si>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</si>
  <si>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</si>
  <si>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</si>
  <si>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</si>
  <si>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</si>
  <si>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</si>
  <si>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</si>
  <si>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</si>
  <si>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</si>
  <si>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</si>
  <si>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</si>
  <si>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</si>
  <si>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</si>
  <si>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</si>
  <si>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</si>
  <si>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</si>
  <si>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</si>
  <si>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</si>
  <si>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</si>
  <si>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</si>
  <si>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</si>
  <si>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</si>
  <si>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</si>
  <si>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</si>
  <si>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</si>
  <si>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</si>
  <si>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</si>
  <si>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</si>
  <si>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</si>
  <si>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</si>
  <si>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</si>
  <si>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</si>
  <si>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</si>
  <si>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</si>
  <si>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</si>
  <si>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</si>
  <si>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</si>
  <si>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</si>
  <si>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</si>
  <si>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</si>
  <si>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</si>
  <si>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</si>
  <si>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</si>
  <si>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</si>
  <si>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</si>
  <si>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</si>
  <si>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</si>
  <si>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</si>
  <si>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</si>
  <si>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</si>
  <si>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</si>
  <si>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</si>
  <si>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</si>
  <si>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</si>
  <si>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</si>
  <si>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</si>
  <si>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</si>
  <si>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</si>
  <si>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</si>
  <si>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</si>
  <si>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</si>
  <si>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</si>
  <si>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</si>
  <si>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</si>
  <si>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</si>
  <si>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</si>
  <si>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</si>
  <si>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</si>
  <si>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</si>
  <si>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</si>
  <si>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</si>
  <si>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</si>
  <si>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</si>
  <si>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</si>
  <si>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</si>
  <si>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</si>
  <si>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</si>
  <si>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</si>
  <si>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</si>
  <si>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</si>
  <si>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</si>
  <si>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</si>
  <si>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</si>
  <si>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</si>
  <si>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</si>
  <si>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</si>
  <si>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</si>
  <si>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</si>
  <si>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</si>
  <si>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</si>
  <si>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</si>
  <si>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</si>
  <si>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</si>
  <si>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</si>
  <si>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</si>
  <si>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</si>
  <si>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</si>
  <si>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</si>
  <si>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</si>
  <si>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</si>
  <si>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</si>
  <si>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</si>
  <si>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</si>
  <si>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</si>
  <si>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</si>
  <si>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</si>
  <si>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</si>
  <si>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</si>
  <si>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</si>
  <si>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</si>
  <si>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</si>
  <si>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</si>
  <si>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</si>
  <si>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</si>
  <si>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</si>
  <si>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</si>
  <si>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</si>
  <si>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</si>
  <si>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</si>
  <si>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</si>
  <si>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</si>
  <si>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</si>
  <si>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</si>
  <si>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</si>
  <si>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</si>
  <si>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</si>
  <si>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</si>
  <si>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</si>
  <si>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</si>
  <si>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</si>
  <si>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</si>
  <si>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</si>
  <si>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</si>
  <si>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</si>
  <si>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</si>
  <si>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</si>
  <si>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</si>
  <si>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</si>
  <si>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</si>
  <si>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</si>
  <si>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</si>
  <si>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</si>
  <si>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</si>
  <si>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</si>
  <si>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</si>
  <si>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</si>
  <si>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</si>
  <si>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</si>
  <si>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</si>
  <si>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</si>
  <si>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</si>
  <si>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</si>
  <si>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</si>
  <si>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</si>
  <si>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</si>
  <si>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</si>
  <si>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</si>
  <si>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</si>
  <si>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</si>
  <si>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</si>
  <si>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</si>
  <si>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</si>
  <si>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</si>
  <si>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</si>
  <si>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</si>
  <si>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</si>
  <si>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</si>
  <si>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</si>
  <si>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</si>
  <si>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</si>
  <si>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</si>
  <si>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</si>
  <si>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</si>
  <si>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</si>
  <si>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</si>
  <si>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</si>
  <si>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</si>
  <si>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</si>
  <si>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</si>
  <si>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</si>
  <si>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</si>
  <si>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</si>
  <si>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</si>
  <si>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</si>
  <si>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</si>
  <si>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</si>
  <si>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</si>
  <si>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</si>
  <si>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</si>
  <si>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</si>
  <si>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</si>
  <si>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</si>
  <si>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</si>
  <si>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</si>
  <si>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</si>
  <si>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</si>
  <si>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</si>
  <si>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</si>
  <si>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</si>
  <si>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</si>
  <si>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</si>
  <si>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</si>
  <si>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</si>
  <si>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</si>
  <si>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</si>
  <si>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</si>
  <si>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</si>
  <si>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</si>
  <si>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</si>
  <si>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</si>
  <si>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</si>
  <si>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</si>
  <si>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</si>
  <si>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</si>
  <si>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</si>
  <si>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</si>
  <si>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</si>
  <si>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</si>
  <si>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</si>
  <si>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</si>
  <si>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</si>
  <si>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</si>
  <si>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</si>
  <si>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</si>
  <si>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</si>
  <si>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</si>
  <si>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</si>
  <si>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</si>
  <si>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</si>
  <si>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</si>
  <si>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</si>
  <si>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</si>
  <si>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</si>
  <si>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</si>
  <si>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</si>
  <si>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</si>
  <si>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</si>
  <si>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</si>
  <si>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</si>
  <si>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</si>
  <si>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</si>
  <si>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</si>
  <si>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</si>
  <si>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</si>
  <si>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</si>
  <si>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</si>
  <si>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</si>
  <si>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</si>
  <si>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</si>
  <si>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</si>
  <si>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</si>
  <si>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</si>
  <si>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</si>
  <si>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</si>
  <si>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</si>
  <si>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</si>
  <si>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</si>
  <si>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</si>
  <si>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</si>
  <si>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</si>
  <si>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</si>
  <si>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</si>
  <si>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</si>
  <si>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</si>
  <si>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</si>
  <si>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</si>
  <si>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</si>
  <si>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</si>
  <si>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</si>
  <si>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</si>
  <si>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</si>
  <si>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</si>
  <si>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</si>
  <si>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</si>
  <si>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</si>
  <si>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</si>
  <si>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</si>
  <si>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</si>
  <si>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</si>
  <si>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</si>
  <si>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</si>
  <si>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</si>
  <si>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</si>
  <si>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</si>
  <si>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</si>
  <si>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</si>
  <si>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</si>
  <si>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</si>
  <si>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</si>
  <si>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</si>
  <si>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</si>
  <si>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</si>
  <si>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</si>
  <si>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</si>
  <si>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</si>
  <si>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</si>
  <si>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</si>
  <si>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</si>
  <si>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</si>
  <si>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</si>
  <si>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</si>
  <si>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</si>
  <si>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</si>
  <si>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</si>
  <si>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</si>
  <si>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</si>
  <si>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</si>
  <si>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</si>
  <si>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</si>
  <si>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</si>
  <si>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</si>
  <si>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</si>
  <si>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</si>
  <si>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</si>
  <si>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</si>
  <si>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</si>
  <si>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</si>
  <si>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</si>
  <si>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</si>
  <si>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</si>
  <si>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</si>
  <si>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</si>
  <si>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</si>
  <si>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</si>
  <si>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</si>
  <si>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</si>
  <si>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</si>
  <si>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</si>
  <si>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</si>
  <si>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</si>
  <si>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</si>
  <si>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</si>
  <si>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</si>
  <si>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</si>
  <si>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</si>
  <si>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</si>
  <si>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</si>
  <si>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</si>
  <si>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</si>
  <si>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</si>
  <si>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</si>
  <si>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</si>
  <si>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</si>
  <si>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</si>
  <si>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</si>
  <si>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</si>
  <si>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</si>
  <si>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</si>
  <si>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</si>
  <si>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</si>
  <si>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</si>
  <si>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</si>
  <si>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</si>
  <si>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</si>
  <si>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</si>
  <si>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</si>
  <si>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</si>
  <si>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</si>
  <si>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</si>
  <si>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</si>
  <si>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</si>
  <si>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</si>
  <si>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</si>
  <si>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</si>
  <si>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</si>
  <si>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</si>
  <si>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</si>
  <si>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</si>
  <si>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</si>
  <si>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</si>
  <si>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</si>
  <si>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</si>
  <si>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</si>
  <si>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</si>
  <si>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</si>
  <si>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</si>
  <si>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</si>
  <si>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</si>
  <si>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</si>
  <si>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</si>
  <si>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</si>
  <si>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</si>
  <si>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</si>
  <si>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</si>
  <si>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</si>
  <si>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</si>
  <si>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</si>
  <si>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</si>
  <si>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</si>
  <si>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</si>
  <si>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</si>
  <si>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</si>
  <si>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</si>
  <si>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</si>
  <si>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</si>
  <si>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</si>
  <si>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</si>
  <si>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</si>
  <si>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</si>
  <si>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</si>
  <si>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</si>
  <si>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</si>
  <si>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</si>
  <si>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</si>
  <si>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</si>
  <si>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</si>
  <si>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</si>
  <si>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</si>
  <si>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</si>
  <si>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</si>
  <si>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</si>
  <si>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</si>
  <si>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</si>
  <si>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</si>
  <si>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</si>
  <si>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</si>
  <si>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</si>
  <si>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</si>
  <si>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</si>
  <si>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</si>
  <si>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</si>
  <si>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</si>
  <si>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</si>
  <si>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</si>
  <si>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</si>
  <si>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</si>
  <si>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</si>
  <si>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</si>
  <si>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</si>
  <si>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</si>
  <si>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</si>
  <si>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</si>
  <si>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</si>
  <si>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</si>
  <si>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</si>
  <si>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</si>
  <si>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</si>
  <si>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</si>
  <si>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</si>
  <si>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</si>
  <si>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</si>
  <si>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</si>
  <si>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</si>
  <si>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</si>
  <si>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</si>
  <si>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</si>
  <si>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</si>
  <si>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</si>
  <si>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</si>
  <si>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</si>
  <si>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</si>
  <si>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</si>
  <si>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</si>
  <si>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</si>
  <si>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</si>
  <si>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</si>
  <si>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</si>
  <si>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</si>
  <si>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</si>
  <si>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</si>
  <si>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</si>
  <si>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</si>
  <si>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</si>
  <si>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</si>
  <si>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</si>
  <si>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</si>
  <si>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</si>
  <si>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</si>
  <si>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</si>
  <si>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</si>
  <si>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</si>
  <si>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</si>
  <si>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</si>
  <si>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</si>
  <si>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</si>
  <si>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</si>
  <si>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</si>
  <si>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</si>
  <si>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</si>
  <si>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</si>
  <si>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</si>
  <si>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</si>
  <si>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</si>
  <si>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</si>
  <si>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</si>
  <si>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</si>
  <si>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</si>
  <si>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</si>
  <si>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</si>
  <si>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</si>
  <si>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</si>
  <si>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</si>
  <si>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</si>
  <si>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</si>
  <si>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</si>
  <si>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</si>
  <si>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</si>
  <si>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</si>
  <si>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</si>
  <si>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</si>
  <si>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</si>
  <si>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</si>
  <si>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</si>
  <si>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</si>
  <si>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</si>
  <si>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</si>
  <si>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</si>
  <si>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</si>
  <si>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</si>
  <si>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</si>
  <si>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</si>
  <si>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</si>
  <si>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</si>
  <si>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</si>
  <si>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</si>
  <si>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</si>
  <si>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</si>
  <si>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</si>
  <si>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</si>
  <si>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</si>
  <si>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</si>
  <si>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</si>
  <si>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</si>
  <si>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</si>
  <si>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</si>
  <si>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</si>
  <si>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</si>
  <si>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</si>
  <si>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</si>
  <si>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</si>
  <si>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</si>
  <si>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</si>
  <si>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</si>
  <si>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</si>
  <si>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</si>
  <si>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</si>
  <si>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</si>
  <si>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</si>
  <si>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</si>
  <si>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</si>
  <si>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</si>
  <si>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</si>
  <si>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</si>
  <si>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</si>
  <si>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</si>
  <si>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</si>
  <si>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</si>
  <si>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</si>
  <si>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</si>
  <si>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</si>
  <si>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</si>
  <si>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</si>
  <si>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</si>
  <si>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</si>
  <si>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</si>
  <si>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</si>
  <si>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</si>
  <si>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</si>
  <si>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</si>
  <si>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</si>
  <si>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</si>
  <si>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</si>
  <si>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</si>
  <si>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</si>
  <si>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</si>
  <si>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</si>
  <si>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</si>
  <si>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</si>
  <si>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</si>
  <si>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</si>
  <si>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</si>
  <si>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</si>
  <si>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</si>
  <si>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</si>
  <si>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</si>
  <si>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</si>
  <si>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</si>
  <si>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</si>
  <si>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</si>
  <si>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</si>
  <si>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</si>
  <si>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</si>
  <si>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</si>
  <si>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</si>
  <si>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</si>
  <si>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</si>
  <si>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</si>
  <si>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</si>
  <si>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</si>
  <si>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</si>
  <si>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</si>
  <si>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</si>
  <si>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</si>
  <si>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</si>
  <si>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</si>
  <si>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</si>
  <si>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</si>
  <si>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</si>
  <si>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</si>
  <si>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</si>
  <si>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</si>
  <si>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</si>
  <si>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</si>
  <si>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</si>
  <si>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</si>
  <si>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</si>
  <si>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</si>
  <si>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</si>
  <si>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</si>
  <si>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</si>
  <si>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</si>
  <si>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</si>
  <si>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</si>
  <si>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</si>
  <si>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</si>
  <si>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</si>
  <si>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</si>
  <si>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</si>
  <si>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</si>
  <si>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</si>
  <si>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</si>
  <si>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</si>
  <si>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</si>
  <si>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</si>
  <si>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</si>
  <si>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</si>
  <si>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</si>
  <si>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</si>
  <si>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</si>
  <si>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</si>
  <si>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</si>
  <si>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</si>
  <si>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</si>
  <si>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</si>
  <si>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</si>
  <si>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</si>
  <si>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</si>
  <si>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</si>
  <si>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</si>
  <si>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</si>
  <si>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</si>
  <si>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</si>
  <si>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</si>
  <si>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</si>
  <si>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</si>
  <si>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</si>
  <si>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</si>
  <si>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</si>
  <si>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</si>
  <si>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</si>
  <si>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</si>
  <si>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</si>
  <si>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</si>
  <si>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</si>
  <si>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</si>
  <si>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</si>
  <si>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</si>
  <si>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</si>
  <si>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</si>
  <si>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</si>
  <si>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</si>
  <si>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</si>
  <si>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</si>
  <si>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</si>
  <si>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</si>
  <si>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</si>
  <si>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</si>
  <si>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</si>
  <si>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</si>
  <si>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</si>
  <si>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</si>
  <si>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</si>
  <si>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</si>
  <si>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</si>
  <si>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</si>
  <si>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</si>
  <si>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</si>
  <si>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</si>
  <si>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</si>
  <si>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</si>
  <si>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</si>
  <si>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</si>
  <si>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</si>
  <si>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</si>
  <si>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</si>
  <si>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</si>
  <si>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</si>
  <si>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</si>
  <si>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</si>
  <si>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</si>
  <si>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</si>
  <si>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</si>
  <si>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</si>
  <si>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</si>
  <si>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</si>
  <si>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</si>
  <si>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</si>
  <si>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</si>
  <si>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</si>
  <si>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</si>
  <si>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</si>
  <si>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</si>
  <si>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</si>
  <si>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</si>
  <si>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</si>
  <si>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</si>
  <si>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</si>
  <si>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</si>
  <si>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</si>
  <si>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</si>
  <si>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</si>
  <si>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</si>
  <si>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</si>
  <si>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</si>
  <si>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</si>
  <si>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</si>
  <si>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</si>
  <si>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</si>
  <si>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</si>
  <si>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</si>
  <si>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</si>
  <si>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</si>
  <si>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</si>
  <si>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</si>
  <si>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</si>
  <si>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</si>
  <si>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</si>
  <si>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</si>
  <si>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</si>
  <si>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</si>
  <si>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</si>
  <si>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</si>
  <si>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</si>
  <si>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</si>
  <si>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</si>
  <si>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</si>
  <si>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</si>
  <si>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</si>
  <si>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</si>
  <si>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</si>
  <si>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</si>
  <si>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</si>
  <si>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</si>
  <si>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</si>
  <si>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</si>
  <si>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</si>
  <si>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</si>
  <si>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</si>
  <si>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</si>
  <si>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</si>
  <si>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</si>
  <si>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</si>
  <si>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</si>
  <si>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</si>
  <si>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</si>
  <si>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</si>
  <si>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</si>
  <si>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</si>
  <si>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</si>
  <si>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</si>
  <si>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</si>
  <si>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</si>
  <si>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</si>
  <si>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</si>
  <si>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</si>
  <si>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</si>
  <si>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</si>
  <si>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</si>
  <si>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</si>
  <si>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</si>
  <si>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</si>
  <si>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</si>
  <si>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</si>
  <si>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</si>
  <si>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</si>
  <si>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</si>
  <si>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</si>
  <si>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</si>
  <si>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</si>
  <si>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</si>
  <si>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</si>
  <si>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</si>
  <si>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</si>
  <si>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</si>
  <si>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</si>
  <si>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</si>
  <si>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</si>
  <si>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</si>
  <si>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</si>
  <si>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</si>
  <si>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</si>
  <si>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</si>
  <si>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</si>
  <si>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</si>
  <si>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</si>
  <si>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</si>
  <si>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</si>
  <si>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</si>
  <si>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</si>
  <si>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</si>
  <si>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</si>
  <si>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</si>
  <si>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</si>
  <si>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</si>
  <si>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</si>
  <si>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</si>
  <si>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</si>
  <si>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</si>
  <si>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</si>
  <si>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</si>
  <si>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</si>
  <si>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</si>
  <si>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</si>
  <si>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</si>
  <si>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</si>
  <si>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</si>
  <si>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</si>
  <si>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</si>
  <si>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</si>
  <si>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</si>
  <si>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</si>
  <si>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</si>
  <si>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</si>
  <si>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</si>
  <si>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</si>
  <si>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</si>
  <si>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</si>
  <si>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</si>
  <si>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</si>
  <si>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</si>
  <si>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</si>
  <si>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</si>
  <si>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</si>
  <si>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</si>
  <si>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</si>
  <si>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</si>
  <si>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</si>
  <si>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</si>
  <si>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</si>
  <si>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</si>
  <si>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</si>
  <si>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</si>
  <si>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</si>
  <si>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</si>
  <si>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</si>
  <si>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</si>
  <si>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</si>
  <si>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</si>
  <si>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</si>
  <si>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</si>
  <si>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</si>
  <si>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</si>
  <si>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</si>
  <si>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</si>
  <si>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</si>
  <si>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</si>
  <si>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</si>
  <si>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</si>
  <si>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</si>
  <si>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</si>
  <si>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</si>
  <si>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</si>
  <si>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</si>
  <si>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</si>
  <si>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</si>
  <si>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</si>
  <si>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</si>
  <si>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</si>
  <si>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</si>
  <si>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</si>
  <si>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</si>
  <si>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</si>
  <si>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</si>
  <si>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</si>
  <si>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</si>
  <si>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</si>
  <si>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</si>
  <si>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</si>
  <si>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</si>
  <si>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</si>
  <si>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</si>
  <si>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</si>
  <si>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</si>
  <si>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</si>
  <si>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</si>
  <si>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</si>
  <si>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</si>
  <si>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</si>
  <si>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</si>
  <si>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</si>
  <si>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</si>
  <si>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</si>
  <si>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</si>
  <si>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</si>
  <si>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</si>
  <si>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</si>
  <si>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</si>
  <si>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</si>
  <si>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</si>
  <si>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</si>
  <si>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</si>
  <si>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</si>
  <si>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</si>
  <si>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</si>
  <si>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</si>
  <si>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</si>
  <si>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</si>
  <si>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</si>
  <si>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</si>
  <si>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</si>
  <si>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</si>
  <si>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</si>
  <si>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</si>
  <si>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</si>
  <si>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</si>
  <si>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</si>
  <si>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</si>
  <si>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</si>
  <si>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</si>
  <si>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</si>
  <si>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</si>
  <si>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</si>
  <si>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</si>
  <si>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</si>
  <si>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</si>
  <si>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</si>
  <si>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</si>
  <si>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</si>
  <si>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</si>
  <si>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</si>
  <si>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</si>
  <si>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</si>
  <si>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</si>
  <si>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</si>
  <si>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</si>
  <si>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</si>
  <si>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</si>
  <si>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</si>
  <si>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</si>
  <si>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</si>
  <si>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</si>
  <si>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</si>
  <si>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</si>
  <si>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</si>
  <si>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</si>
  <si>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</si>
  <si>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</si>
  <si>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</si>
  <si>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</si>
  <si>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</si>
  <si>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</si>
  <si>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</si>
  <si>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</si>
  <si>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</si>
  <si>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</si>
  <si>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</si>
  <si>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</si>
  <si>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</si>
  <si>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</si>
  <si>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</si>
  <si>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</si>
  <si>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</si>
  <si>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</si>
  <si>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</si>
  <si>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</si>
  <si>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</si>
  <si>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</si>
  <si>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</si>
  <si>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</si>
  <si>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</si>
  <si>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</si>
  <si>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</si>
  <si>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</si>
  <si>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</si>
  <si>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</si>
  <si>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</si>
  <si>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</si>
  <si>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</si>
  <si>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</si>
  <si>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</si>
  <si>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</si>
  <si>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</si>
  <si>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</si>
  <si>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</si>
  <si>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</si>
  <si>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</si>
  <si>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</si>
  <si>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</si>
  <si>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</si>
  <si>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</si>
  <si>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</si>
  <si>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</si>
  <si>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</si>
  <si>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</si>
  <si>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</si>
  <si>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</si>
  <si>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</si>
  <si>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</si>
  <si>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</si>
  <si>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</si>
  <si>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</si>
  <si>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</si>
  <si>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</si>
  <si>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</si>
  <si>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</si>
  <si>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</si>
  <si>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</si>
  <si>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</si>
  <si>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</si>
  <si>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</si>
  <si>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</si>
  <si>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</si>
  <si>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</si>
  <si>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</si>
  <si>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</si>
  <si>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</si>
  <si>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</si>
  <si>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</si>
  <si>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</si>
  <si>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</si>
  <si>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</si>
  <si>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</si>
  <si>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</si>
  <si>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</si>
  <si>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</si>
  <si>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</si>
  <si>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</si>
  <si>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</si>
  <si>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</si>
  <si>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</si>
  <si>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</si>
  <si>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</si>
  <si>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</si>
  <si>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</si>
  <si>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</si>
  <si>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</si>
  <si>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</si>
  <si>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</si>
  <si>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</si>
  <si>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</si>
  <si>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</si>
  <si>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</si>
  <si>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</si>
  <si>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</si>
  <si>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</si>
  <si>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</si>
  <si>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</si>
  <si>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</si>
  <si>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</si>
  <si>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</si>
  <si>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</si>
  <si>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</si>
  <si>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</si>
  <si>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</si>
  <si>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</si>
  <si>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</si>
  <si>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</si>
  <si>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</si>
  <si>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</si>
  <si>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</si>
  <si>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</si>
  <si>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</si>
  <si>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</si>
  <si>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</si>
  <si>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</si>
  <si>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</si>
  <si>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</si>
  <si>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</si>
  <si>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</si>
  <si>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</si>
  <si>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</si>
  <si>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</si>
  <si>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</si>
  <si>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</si>
  <si>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</si>
  <si>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</si>
  <si>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</si>
  <si>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</si>
  <si>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</si>
  <si>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</si>
  <si>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</si>
  <si>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</si>
  <si>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</si>
  <si>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</si>
  <si>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</si>
  <si>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</si>
  <si>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</si>
  <si>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</si>
  <si>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</si>
  <si>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</si>
  <si>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</si>
  <si>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</si>
  <si>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</si>
  <si>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</si>
  <si>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</si>
  <si>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</si>
  <si>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</si>
  <si>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</si>
  <si>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</si>
  <si>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</si>
  <si>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</si>
  <si>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</si>
  <si>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</si>
  <si>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</si>
  <si>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</si>
  <si>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</si>
  <si>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</si>
  <si>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</si>
  <si>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</si>
  <si>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</si>
  <si>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</si>
  <si>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</si>
  <si>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</si>
  <si>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</si>
  <si>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</si>
  <si>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</si>
  <si>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</si>
  <si>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</si>
  <si>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</si>
  <si>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</si>
  <si>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</si>
  <si>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</si>
  <si>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</si>
  <si>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</si>
  <si>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</si>
  <si>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</si>
  <si>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</si>
  <si>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</si>
  <si>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</si>
  <si>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</si>
  <si>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</si>
  <si>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</si>
  <si>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</si>
  <si>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</si>
  <si>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</si>
  <si>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</si>
  <si>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</si>
  <si>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</si>
  <si>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</si>
  <si>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</si>
  <si>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</si>
  <si>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</si>
  <si>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</si>
  <si>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</si>
  <si>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</si>
  <si>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</si>
  <si>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</si>
  <si>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</si>
  <si>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</si>
  <si>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</si>
  <si>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</si>
  <si>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</si>
  <si>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</si>
  <si>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</si>
  <si>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</si>
  <si>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</si>
  <si>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</si>
  <si>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</si>
  <si>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</si>
  <si>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</si>
  <si>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</si>
  <si>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</si>
  <si>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</si>
  <si>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</si>
  <si>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</si>
  <si>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</si>
  <si>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</si>
  <si>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</si>
  <si>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</si>
  <si>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</si>
  <si>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</si>
  <si>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</si>
  <si>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</si>
  <si>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</si>
  <si>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</si>
  <si>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</si>
  <si>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</si>
  <si>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</si>
  <si>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</si>
  <si>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</si>
  <si>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</si>
  <si>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</si>
  <si>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</si>
  <si>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</si>
  <si>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</si>
  <si>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</si>
  <si>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</si>
  <si>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</si>
  <si>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</si>
  <si>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</si>
  <si>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</si>
  <si>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</si>
  <si>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</si>
  <si>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</si>
  <si>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</si>
  <si>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</si>
  <si>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</si>
  <si>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</si>
  <si>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</si>
  <si>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</si>
  <si>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</si>
  <si>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</si>
  <si>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</si>
  <si>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</si>
  <si>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</si>
  <si>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</si>
  <si>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</si>
  <si>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</si>
  <si>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</si>
  <si>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</si>
  <si>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</si>
  <si>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</si>
  <si>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</si>
  <si>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</si>
  <si>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</si>
  <si>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</si>
  <si>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</si>
  <si>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</si>
  <si>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</si>
  <si>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</si>
  <si>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</si>
  <si>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</si>
  <si>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</si>
  <si>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</si>
  <si>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</si>
  <si>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</si>
  <si>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</si>
  <si>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</si>
  <si>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</si>
  <si>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</si>
  <si>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</si>
  <si>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</si>
  <si>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</si>
  <si>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</si>
  <si>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</si>
  <si>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</si>
  <si>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</si>
  <si>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</si>
  <si>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</si>
  <si>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</si>
  <si>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</si>
  <si>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</si>
  <si>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</si>
  <si>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</si>
  <si>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</si>
  <si>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</si>
  <si>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</si>
  <si>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</si>
  <si>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</si>
  <si>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</si>
  <si>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</si>
  <si>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</si>
  <si>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</si>
  <si>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</si>
  <si>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</si>
  <si>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</si>
  <si>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</si>
  <si>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</si>
  <si>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</si>
  <si>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</si>
  <si>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</si>
  <si>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</si>
  <si>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</si>
  <si>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</si>
  <si>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</si>
  <si>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</si>
  <si>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</si>
  <si>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</si>
  <si>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</si>
  <si>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</si>
  <si>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</si>
  <si>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</si>
  <si>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</si>
  <si>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</si>
  <si>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</si>
  <si>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</si>
  <si>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</si>
  <si>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</si>
  <si>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</si>
  <si>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</si>
  <si>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</si>
  <si>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</si>
  <si>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</si>
  <si>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</si>
  <si>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</si>
  <si>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</si>
  <si>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</si>
  <si>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</si>
  <si>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</si>
  <si>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</si>
  <si>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</si>
  <si>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</si>
  <si>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</si>
  <si>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</si>
  <si>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</si>
  <si>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</si>
  <si>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</si>
  <si>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</si>
  <si>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</si>
  <si>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</si>
  <si>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</si>
  <si>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</si>
  <si>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</si>
  <si>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</si>
  <si>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</si>
  <si>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</si>
  <si>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</si>
  <si>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</si>
  <si>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</si>
  <si>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</si>
  <si>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</si>
  <si>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</si>
  <si>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</si>
  <si>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</si>
  <si>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</si>
  <si>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</si>
  <si>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</si>
  <si>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</si>
  <si>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</si>
  <si>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</si>
  <si>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</si>
  <si>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</si>
  <si>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</si>
  <si>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</si>
  <si>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</si>
  <si>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</si>
  <si>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</si>
  <si>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</si>
  <si>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</si>
  <si>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</si>
  <si>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</si>
  <si>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</si>
  <si>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</si>
  <si>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</si>
  <si>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</si>
  <si>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</si>
  <si>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</si>
  <si>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</si>
  <si>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</si>
  <si>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</si>
  <si>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</si>
  <si>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</si>
  <si>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</si>
  <si>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</si>
  <si>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</si>
  <si>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</si>
  <si>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</si>
  <si>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</si>
  <si>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</si>
  <si>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</si>
  <si>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</si>
  <si>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</si>
  <si>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</si>
  <si>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</si>
  <si>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</si>
  <si>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</si>
  <si>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</si>
  <si>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</si>
  <si>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</si>
  <si>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</si>
  <si>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</si>
  <si>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</si>
  <si>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</si>
  <si>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</si>
  <si>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</si>
  <si>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</si>
  <si>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</si>
  <si>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</si>
  <si>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</si>
  <si>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</si>
  <si>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</si>
  <si>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</si>
  <si>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</si>
  <si>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</si>
  <si>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</si>
  <si>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</si>
  <si>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</si>
  <si>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</si>
  <si>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</si>
  <si>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</si>
  <si>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</si>
  <si>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</si>
  <si>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</si>
  <si>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</si>
  <si>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</si>
  <si>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</si>
  <si>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</si>
  <si>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</si>
  <si>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</si>
  <si>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</si>
  <si>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</si>
  <si>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</si>
  <si>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</si>
  <si>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</si>
  <si>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</si>
  <si>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</si>
  <si>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</si>
  <si>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</si>
  <si>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</si>
  <si>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</si>
  <si>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</si>
  <si>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</si>
  <si>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</si>
  <si>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</si>
  <si>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</si>
  <si>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</si>
  <si>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</si>
  <si>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</si>
  <si>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</si>
  <si>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</si>
  <si>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</si>
  <si>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</si>
  <si>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</si>
  <si>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</si>
  <si>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</si>
  <si>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</si>
  <si>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</si>
  <si>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</si>
  <si>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</si>
  <si>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</si>
  <si>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</si>
  <si>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</si>
  <si>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</si>
  <si>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</si>
  <si>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</si>
  <si>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</si>
  <si>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Inbound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</si>
  <si>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</si>
  <si>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</si>
  <si>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</si>
  <si>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</si>
  <si>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</si>
  <si>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</si>
  <si>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</si>
  <si>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</si>
  <si>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</si>
  <si>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</si>
  <si>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</si>
  <si>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</si>
  <si>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</si>
  <si>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</si>
  <si>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</si>
  <si>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</si>
  <si>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</si>
  <si>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</si>
  <si>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</si>
  <si>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</si>
  <si>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</si>
  <si>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</si>
  <si>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</si>
  <si>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</si>
  <si>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</si>
  <si>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</si>
  <si>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</si>
  <si>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</si>
  <si>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</si>
  <si>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</si>
  <si>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</si>
  <si>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</si>
  <si>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</si>
  <si>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</si>
  <si>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</si>
  <si>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</si>
  <si>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</si>
  <si>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</si>
  <si>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</si>
  <si>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</si>
  <si>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</si>
  <si>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</si>
  <si>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</si>
  <si>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</si>
  <si>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</si>
  <si>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</si>
  <si>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</si>
  <si>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</si>
  <si>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</si>
  <si>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</si>
  <si>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</si>
  <si>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</si>
  <si>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</si>
  <si>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</si>
  <si>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</si>
  <si>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</si>
  <si>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</si>
  <si>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</si>
  <si>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</si>
  <si>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</si>
  <si>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</si>
  <si>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</si>
  <si>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</si>
  <si>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</si>
  <si>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</si>
  <si>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</si>
  <si>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</si>
  <si>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</si>
  <si>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</si>
  <si>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</si>
  <si>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</si>
  <si>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</si>
  <si>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</si>
  <si>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</si>
  <si>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</si>
  <si>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</si>
  <si>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</si>
  <si>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</si>
  <si>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</si>
  <si>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</si>
  <si>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</si>
  <si>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</si>
  <si>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</si>
  <si>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</si>
  <si>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</si>
  <si>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</si>
  <si>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</si>
  <si>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</si>
  <si>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</si>
  <si>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</si>
  <si>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</si>
  <si>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</si>
  <si>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</si>
  <si>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</si>
  <si>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</si>
  <si>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</si>
  <si>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</si>
  <si>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</si>
  <si>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</si>
  <si>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</si>
  <si>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</si>
  <si>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</si>
  <si>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</si>
  <si>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</si>
  <si>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</si>
  <si>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</si>
  <si>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</si>
  <si>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</si>
  <si>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</si>
  <si>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</si>
  <si>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</si>
  <si>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</si>
  <si>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</si>
  <si>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</si>
  <si>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</si>
  <si>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</si>
  <si>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</si>
  <si>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</si>
  <si>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</si>
  <si>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</si>
  <si>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</si>
  <si>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</si>
  <si>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</si>
  <si>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</si>
  <si>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</si>
  <si>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</si>
  <si>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</si>
  <si>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</si>
  <si>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</si>
  <si>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</si>
  <si>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</si>
  <si>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</si>
  <si>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</si>
  <si>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</si>
  <si>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</si>
  <si>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</si>
  <si>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</si>
  <si>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</si>
  <si>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</si>
  <si>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</si>
  <si>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</si>
  <si>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</si>
  <si>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</si>
  <si>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</si>
  <si>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</si>
  <si>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</si>
  <si>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</si>
  <si>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</si>
  <si>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</si>
  <si>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</si>
  <si>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</si>
  <si>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</si>
  <si>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</si>
  <si>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</si>
  <si>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</si>
  <si>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</si>
  <si>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</si>
  <si>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</si>
  <si>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</si>
  <si>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</si>
  <si>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</si>
  <si>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</si>
  <si>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</si>
  <si>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</si>
  <si>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</si>
  <si>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</si>
  <si>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</si>
  <si>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</si>
  <si>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</si>
  <si>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</si>
  <si>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</si>
  <si>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</si>
  <si>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</si>
  <si>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</si>
  <si>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</si>
  <si>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</si>
  <si>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</si>
  <si>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</si>
  <si>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</si>
  <si>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</si>
  <si>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</si>
  <si>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</si>
  <si>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</si>
  <si>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</si>
  <si>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</si>
  <si>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</si>
  <si>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</si>
  <si>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</si>
  <si>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</si>
  <si>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</si>
  <si>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</si>
  <si>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</si>
  <si>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</si>
  <si>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</si>
  <si>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</si>
  <si>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</si>
  <si>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</si>
  <si>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</si>
  <si>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</si>
  <si>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</si>
  <si>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</si>
  <si>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</si>
  <si>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</si>
  <si>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</si>
  <si>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</si>
  <si>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</si>
  <si>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</si>
  <si>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</si>
  <si>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</si>
  <si>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</si>
  <si>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</si>
  <si>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</si>
  <si>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</si>
  <si>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</si>
  <si>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</si>
  <si>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</si>
  <si>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</si>
  <si>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</si>
  <si>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</si>
  <si>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</si>
  <si>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</si>
  <si>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</si>
  <si>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</si>
  <si>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</si>
  <si>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</si>
  <si>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</si>
  <si>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</si>
  <si>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</si>
  <si>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</si>
  <si>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</si>
  <si>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</si>
  <si>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</si>
  <si>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</si>
  <si>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</si>
  <si>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</si>
  <si>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</si>
  <si>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</si>
  <si>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</si>
  <si>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</si>
  <si>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</si>
  <si>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</si>
  <si>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</si>
  <si>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</si>
  <si>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</si>
  <si>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</si>
  <si>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</si>
  <si>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</si>
  <si>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</si>
  <si>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</si>
  <si>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</si>
  <si>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</si>
  <si>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</si>
  <si>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</si>
  <si>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</si>
  <si>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</si>
  <si>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</si>
  <si>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</si>
  <si>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</si>
  <si>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</si>
  <si>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</si>
  <si>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</si>
  <si>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</si>
  <si>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</si>
  <si>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</si>
  <si>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</si>
  <si>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</si>
  <si>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</si>
  <si>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</si>
  <si>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</si>
  <si>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</si>
  <si>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</si>
  <si>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</si>
  <si>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</si>
  <si>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</si>
  <si>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</si>
  <si>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</si>
  <si>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</si>
  <si>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</si>
  <si>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</si>
  <si>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</si>
  <si>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</si>
  <si>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</si>
  <si>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</si>
  <si>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</si>
  <si>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</si>
  <si>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</si>
  <si>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</si>
  <si>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</si>
  <si>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</si>
  <si>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</si>
  <si>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</si>
  <si>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</si>
  <si>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</si>
  <si>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</si>
  <si>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</si>
  <si>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</si>
  <si>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A1SA1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</si>
  <si>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</si>
  <si>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</si>
  <si>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</si>
  <si>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</si>
  <si>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</si>
  <si>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</si>
  <si>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</si>
  <si>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</si>
  <si>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</si>
  <si>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</si>
  <si>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</si>
  <si>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</si>
  <si>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</si>
  <si>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</si>
  <si>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</si>
  <si>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</si>
  <si>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</si>
  <si>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</si>
  <si>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</si>
  <si>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</si>
  <si>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</si>
  <si>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</si>
  <si>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</si>
  <si>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</si>
  <si>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</si>
  <si>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</si>
  <si>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</si>
  <si>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</si>
  <si>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</si>
  <si>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</si>
  <si>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</si>
  <si>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</si>
  <si>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</si>
  <si>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</si>
  <si>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</si>
  <si>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</si>
  <si>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</si>
  <si>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</si>
  <si>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</si>
  <si>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</si>
  <si>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</si>
  <si>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</si>
  <si>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</si>
  <si>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</si>
  <si>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</si>
  <si>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</si>
  <si>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</si>
  <si>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</si>
  <si>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</si>
  <si>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</si>
  <si>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</si>
  <si>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</si>
  <si>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</si>
  <si>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</si>
  <si>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</si>
  <si>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</si>
  <si>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</si>
  <si>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</si>
  <si>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Autoconsumo Energia Elétrica</t>
  </si>
  <si>
    <t>Consumo Elétrica em Utilidades Públicas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</si>
  <si>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</si>
  <si>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</si>
  <si>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</si>
  <si>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</si>
  <si>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</si>
  <si>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</si>
  <si>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</si>
  <si>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</si>
  <si>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</si>
  <si>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</si>
  <si>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</si>
  <si>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</si>
  <si>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</si>
  <si>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</si>
  <si>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</si>
  <si>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</si>
  <si>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</si>
  <si>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</si>
  <si>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</si>
  <si>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</si>
  <si>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</si>
  <si>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Projeto:</t>
  </si>
  <si>
    <t>Introdução</t>
  </si>
  <si>
    <t>Situação Atual e Objetivos/Metas</t>
  </si>
  <si>
    <t>Rotas Tecnologicas dos Subarranjos</t>
  </si>
  <si>
    <t xml:space="preserve">Premissas de Mercado e Canais de Valorização </t>
  </si>
  <si>
    <t>Avaliação de Cenários x Arranjos x Rotas Tecnologicas</t>
  </si>
  <si>
    <t>Arranjos e Subarranjos de Municípios</t>
  </si>
  <si>
    <t>Conclusões e Recomendações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</si>
  <si>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</si>
  <si>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</si>
  <si>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</si>
  <si>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</si>
  <si>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</si>
  <si>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</si>
  <si>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</si>
  <si>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</si>
  <si>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</si>
  <si>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</si>
  <si>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</si>
  <si>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</si>
  <si>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</si>
  <si>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</si>
  <si>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</si>
  <si>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</si>
  <si>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</si>
  <si>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</si>
  <si>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</si>
  <si>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</si>
  <si>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FFASDSADAS</t>
  </si>
  <si>
    <t>Biometano</t>
  </si>
  <si>
    <t>Energia Elétrica</t>
  </si>
  <si>
    <t>C:\Users\cristiansimioni\AppData\Local\Programs\Python\Python311\python.exe</t>
  </si>
  <si>
    <t>Sumário</t>
  </si>
  <si>
    <t>A2</t>
  </si>
  <si>
    <t>A2SA1</t>
  </si>
  <si>
    <t>A3SA1</t>
  </si>
  <si>
    <t>A3SA2</t>
  </si>
  <si>
    <t>A4SA1</t>
  </si>
  <si>
    <t>A4SA2</t>
  </si>
  <si>
    <t>A5</t>
  </si>
  <si>
    <t>A5SA1</t>
  </si>
  <si>
    <t>A5SA2</t>
  </si>
  <si>
    <t>A6</t>
  </si>
  <si>
    <t>A6SA1</t>
  </si>
  <si>
    <t>A6SA2</t>
  </si>
  <si>
    <t>Litoral Paranaense</t>
  </si>
  <si>
    <t>C:\Users\cristiansimioni\Desktop\Treinamento UNIDO - Simulações</t>
  </si>
  <si>
    <t>[['Antonina', 'Guaratuba', 'Morretes']]</t>
  </si>
  <si>
    <t>['Antonina', 'Guaratuba', 'Morretes']</t>
  </si>
  <si>
    <t>Antonina'</t>
  </si>
  <si>
    <t>Guaratuba'</t>
  </si>
  <si>
    <t>[['Antonina'], ['Guaratuba', 'Morretes']]</t>
  </si>
  <si>
    <t>['Antonina']</t>
  </si>
  <si>
    <t>['Guaratuba', 'Morretes']</t>
  </si>
  <si>
    <t>[['Antonina', 'Guaratuba'], ['Morretes']]</t>
  </si>
  <si>
    <t>['Antonina', 'Guaratuba']</t>
  </si>
  <si>
    <t>['Morretes']</t>
  </si>
  <si>
    <t>Morretes'</t>
  </si>
  <si>
    <t>[['Antonina', 'Morretes'], ['Guaratuba']]</t>
  </si>
  <si>
    <t>['Antonina', 'Morretes']</t>
  </si>
  <si>
    <t>['Guaratuba']</t>
  </si>
  <si>
    <t>[['Antonina'], ['Guaratuba'], ['Morretes']]</t>
  </si>
  <si>
    <t>A6SA3</t>
  </si>
  <si>
    <t>Mercado Base</t>
  </si>
  <si>
    <t>M1A1SA1RT1-A</t>
  </si>
  <si>
    <t>M1A1SA1RT1-B</t>
  </si>
  <si>
    <t>M1A1SA1RT1-C</t>
  </si>
  <si>
    <t>M1A1SA1RT2</t>
  </si>
  <si>
    <t>M1A1SA1RT3</t>
  </si>
  <si>
    <t>M1A1SA1RT4</t>
  </si>
  <si>
    <t>M1A1SA1RT5</t>
  </si>
  <si>
    <t>A1SA1(Consolidado)</t>
  </si>
  <si>
    <t>M1A1SA1</t>
  </si>
  <si>
    <t>A1(Consolidado)</t>
  </si>
  <si>
    <t>Mercado Otimizado</t>
  </si>
  <si>
    <t>M2A1SA1RT1-A</t>
  </si>
  <si>
    <t>M2A1SA1RT1-B</t>
  </si>
  <si>
    <t>M2A1SA1RT1-C</t>
  </si>
  <si>
    <t>M2A1SA1RT2</t>
  </si>
  <si>
    <t>M2A1SA1RT3</t>
  </si>
  <si>
    <t>M2A1SA1RT4</t>
  </si>
  <si>
    <t>M2A1SA1RT5</t>
  </si>
  <si>
    <t>M2A1SA1</t>
  </si>
  <si>
    <t>Mercado Aterro Existentes</t>
  </si>
  <si>
    <t>M3A1SA1RT1-A</t>
  </si>
  <si>
    <t>M3A1SA1RT1-B</t>
  </si>
  <si>
    <t>M3A1SA1RT1-C</t>
  </si>
  <si>
    <t>M3A1SA1RT2</t>
  </si>
  <si>
    <t>M3A1SA1RT3</t>
  </si>
  <si>
    <t>M3A1SA1RT4</t>
  </si>
  <si>
    <t>M3A1SA1RT5</t>
  </si>
  <si>
    <t>M3A1SA1</t>
  </si>
  <si>
    <t>M1A2SA1RT1-A</t>
  </si>
  <si>
    <t>M1A2SA1RT1-B</t>
  </si>
  <si>
    <t>M1A2SA1RT1-C</t>
  </si>
  <si>
    <t>M1A2SA1RT2</t>
  </si>
  <si>
    <t>M1A2SA1RT3</t>
  </si>
  <si>
    <t>M1A2SA1RT4</t>
  </si>
  <si>
    <t>M1A2SA1RT5</t>
  </si>
  <si>
    <t>A2SA1(Consolidado)</t>
  </si>
  <si>
    <t>M1A2SA1</t>
  </si>
  <si>
    <t>A2(Consolidado)</t>
  </si>
  <si>
    <t>M1A2</t>
  </si>
  <si>
    <t>M2A2SA1RT1-A</t>
  </si>
  <si>
    <t>M2A2SA1RT1-B</t>
  </si>
  <si>
    <t>M2A2SA1RT1-C</t>
  </si>
  <si>
    <t>M2A2SA1RT2</t>
  </si>
  <si>
    <t>M2A2SA1RT3</t>
  </si>
  <si>
    <t>M2A2SA1RT4</t>
  </si>
  <si>
    <t>M2A2SA1RT5</t>
  </si>
  <si>
    <t>M2A2SA1</t>
  </si>
  <si>
    <t>M2A2</t>
  </si>
  <si>
    <t>M3A2SA1RT1-A</t>
  </si>
  <si>
    <t>M3A2SA1RT1-B</t>
  </si>
  <si>
    <t>M3A2SA1RT1-C</t>
  </si>
  <si>
    <t>M3A2SA1RT2</t>
  </si>
  <si>
    <t>M3A2SA1RT3</t>
  </si>
  <si>
    <t>M3A2SA1RT4</t>
  </si>
  <si>
    <t>M3A2SA1RT5</t>
  </si>
  <si>
    <t>M3A2SA1</t>
  </si>
  <si>
    <t>M3A2</t>
  </si>
  <si>
    <t>M1A3SA1RT1-A</t>
  </si>
  <si>
    <t>M1A3SA1RT1-B</t>
  </si>
  <si>
    <t>M1A3SA1RT1-C</t>
  </si>
  <si>
    <t>M1A3SA1RT2</t>
  </si>
  <si>
    <t>M1A3SA1RT3</t>
  </si>
  <si>
    <t>M1A3SA1RT4</t>
  </si>
  <si>
    <t>M1A3SA1RT5</t>
  </si>
  <si>
    <t>A3SA1(Consolidado)</t>
  </si>
  <si>
    <t>M1A3SA1</t>
  </si>
  <si>
    <t>M1A3SA2RT1-A</t>
  </si>
  <si>
    <t>M1A3SA2RT1-B</t>
  </si>
  <si>
    <t>M1A3SA2RT1-C</t>
  </si>
  <si>
    <t>M1A3SA2RT2</t>
  </si>
  <si>
    <t>M1A3SA2RT3</t>
  </si>
  <si>
    <t>M1A3SA2RT4</t>
  </si>
  <si>
    <t>M1A3SA2RT5</t>
  </si>
  <si>
    <t>A3SA2(Consolidado)</t>
  </si>
  <si>
    <t>M1A3SA2</t>
  </si>
  <si>
    <t>A3(Consolidado)</t>
  </si>
  <si>
    <t>M2A3SA1RT1-A</t>
  </si>
  <si>
    <t>M2A3SA1RT1-B</t>
  </si>
  <si>
    <t>M2A3SA1RT1-C</t>
  </si>
  <si>
    <t>M2A3SA1RT2</t>
  </si>
  <si>
    <t>M2A3SA1RT3</t>
  </si>
  <si>
    <t>M2A3SA1RT4</t>
  </si>
  <si>
    <t>M2A3SA1RT5</t>
  </si>
  <si>
    <t>M2A3SA1</t>
  </si>
  <si>
    <t>M2A3SA2RT1-A</t>
  </si>
  <si>
    <t>M2A3SA2RT1-B</t>
  </si>
  <si>
    <t>M2A3SA2RT1-C</t>
  </si>
  <si>
    <t>M2A3SA2RT2</t>
  </si>
  <si>
    <t>M2A3SA2RT3</t>
  </si>
  <si>
    <t>M2A3SA2RT4</t>
  </si>
  <si>
    <t>M2A3SA2RT5</t>
  </si>
  <si>
    <t>M2A3SA2</t>
  </si>
  <si>
    <t>M3A3SA1RT1-A</t>
  </si>
  <si>
    <t>M3A3SA1RT1-B</t>
  </si>
  <si>
    <t>M3A3SA1RT1-C</t>
  </si>
  <si>
    <t>M3A3SA1RT2</t>
  </si>
  <si>
    <t>M3A3SA1RT3</t>
  </si>
  <si>
    <t>M3A3SA1RT4</t>
  </si>
  <si>
    <t>M3A3SA1RT5</t>
  </si>
  <si>
    <t>M3A3SA1</t>
  </si>
  <si>
    <t>M3A3SA2RT1-A</t>
  </si>
  <si>
    <t>M3A3SA2RT1-B</t>
  </si>
  <si>
    <t>M3A3SA2RT1-C</t>
  </si>
  <si>
    <t>M3A3SA2RT2</t>
  </si>
  <si>
    <t>M3A3SA2RT3</t>
  </si>
  <si>
    <t>M3A3SA2RT4</t>
  </si>
  <si>
    <t>M3A3SA2RT5</t>
  </si>
  <si>
    <t>M3A3SA2</t>
  </si>
  <si>
    <t>M1A4SA1RT1-A</t>
  </si>
  <si>
    <t>M1A4SA1RT1-B</t>
  </si>
  <si>
    <t>M1A4SA1RT1-C</t>
  </si>
  <si>
    <t>M1A4SA1RT2</t>
  </si>
  <si>
    <t>M1A4SA1RT3</t>
  </si>
  <si>
    <t>M1A4SA1RT4</t>
  </si>
  <si>
    <t>M1A4SA1RT5</t>
  </si>
  <si>
    <t>A4SA1(Consolidado)</t>
  </si>
  <si>
    <t>M1A4SA1</t>
  </si>
  <si>
    <t>M1A4SA2RT1-A</t>
  </si>
  <si>
    <t>M1A4SA2RT1-B</t>
  </si>
  <si>
    <t>M1A4SA2RT1-C</t>
  </si>
  <si>
    <t>M1A4SA2RT2</t>
  </si>
  <si>
    <t>M1A4SA2RT3</t>
  </si>
  <si>
    <t>M1A4SA2RT4</t>
  </si>
  <si>
    <t>M1A4SA2RT5</t>
  </si>
  <si>
    <t>A4SA2(Consolidado)</t>
  </si>
  <si>
    <t>M1A4SA2</t>
  </si>
  <si>
    <t>A4(Consolidado)</t>
  </si>
  <si>
    <t>M2A4SA1RT1-A</t>
  </si>
  <si>
    <t>M2A4SA1RT1-B</t>
  </si>
  <si>
    <t>M2A4SA1RT1-C</t>
  </si>
  <si>
    <t>M2A4SA1RT2</t>
  </si>
  <si>
    <t>M2A4SA1RT3</t>
  </si>
  <si>
    <t>M2A4SA1RT4</t>
  </si>
  <si>
    <t>M2A4SA1RT5</t>
  </si>
  <si>
    <t>M2A4SA1</t>
  </si>
  <si>
    <t>M2A4SA2RT1-A</t>
  </si>
  <si>
    <t>M2A4SA2RT1-B</t>
  </si>
  <si>
    <t>M2A4SA2RT1-C</t>
  </si>
  <si>
    <t>M2A4SA2RT2</t>
  </si>
  <si>
    <t>M2A4SA2RT3</t>
  </si>
  <si>
    <t>M2A4SA2RT4</t>
  </si>
  <si>
    <t>M2A4SA2RT5</t>
  </si>
  <si>
    <t>M2A4SA2</t>
  </si>
  <si>
    <t>M3A4SA1RT1-A</t>
  </si>
  <si>
    <t>M3A4SA1RT1-B</t>
  </si>
  <si>
    <t>M3A4SA1RT1-C</t>
  </si>
  <si>
    <t>M3A4SA1RT2</t>
  </si>
  <si>
    <t>M3A4SA1RT3</t>
  </si>
  <si>
    <t>M3A4SA1RT4</t>
  </si>
  <si>
    <t>M3A4SA1RT5</t>
  </si>
  <si>
    <t>M3A4SA1</t>
  </si>
  <si>
    <t>M3A4SA2RT1-A</t>
  </si>
  <si>
    <t>M3A4SA2RT1-B</t>
  </si>
  <si>
    <t>M3A4SA2RT1-C</t>
  </si>
  <si>
    <t>M3A4SA2RT2</t>
  </si>
  <si>
    <t>M3A4SA2RT3</t>
  </si>
  <si>
    <t>M3A4SA2RT4</t>
  </si>
  <si>
    <t>M3A4SA2RT5</t>
  </si>
  <si>
    <t>M3A4SA2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</si>
  <si>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24/01/2023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3.0.8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</si>
</sst>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"/>
    <numFmt numFmtId="166" formatCode="_(* #,##0.00_);_(* \(#,##0.00\);_(* &quot;-&quot;??_);_(@_)"/>
    <numFmt numFmtId="167" formatCode="0_ ;[Red]\-0\ 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Open Sans"/>
    </font>
    <font>
      <b/>
      <sz val="16"/>
      <color theme="1"/>
      <name val="Open Sans"/>
    </font>
    <font>
      <b/>
      <sz val="11"/>
      <color theme="1"/>
      <name val="Open Sans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49B3B6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41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0" fillId="7" borderId="0" xfId="0" applyFill="1"/>
    <xf numFmtId="165" fontId="6" fillId="0" borderId="0" xfId="3" applyNumberFormat="1" applyFont="1" applyFill="1" applyBorder="1" applyAlignment="1">
      <alignment horizontal="center" vertical="center"/>
    </xf>
    <xf numFmtId="0" fontId="0" fillId="8" borderId="0" xfId="0" applyFill="1"/>
    <xf numFmtId="0" fontId="24" fillId="7" borderId="0" xfId="0" applyFont="1" applyFill="1"/>
    <xf numFmtId="0" fontId="24" fillId="8" borderId="0" xfId="0" applyFont="1" applyFill="1"/>
    <xf numFmtId="0" fontId="26" fillId="8" borderId="0" xfId="0" applyFont="1" applyFill="1"/>
    <xf numFmtId="0" fontId="26" fillId="7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3" fontId="0" fillId="0" borderId="3" xfId="0" applyNumberFormat="1" applyBorder="1" applyAlignment="1">
      <alignment horizontal="center"/>
    </xf>
    <xf numFmtId="0" fontId="10" fillId="9" borderId="0" xfId="0" applyFont="1" applyFill="1" applyAlignment="1">
      <alignment horizontal="center"/>
    </xf>
    <xf numFmtId="0" fontId="10" fillId="9" borderId="0" xfId="0" applyFont="1" applyFill="1"/>
    <xf numFmtId="0" fontId="10" fillId="10" borderId="0" xfId="0" applyFont="1" applyFill="1" applyAlignment="1">
      <alignment horizontal="center"/>
    </xf>
    <xf numFmtId="0" fontId="10" fillId="10" borderId="0" xfId="0" applyFont="1" applyFill="1"/>
    <xf numFmtId="0" fontId="6" fillId="10" borderId="0" xfId="0" applyFont="1" applyFill="1" applyAlignment="1">
      <alignment horizontal="center"/>
    </xf>
    <xf numFmtId="0" fontId="6" fillId="10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wrapText="1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8" fillId="8" borderId="0" xfId="0" applyFont="1" applyFill="1" applyAlignment="1">
      <alignment vertical="center"/>
    </xf>
    <xf numFmtId="0" fontId="26" fillId="0" borderId="0" xfId="0" applyFont="1"/>
    <xf numFmtId="0" fontId="5" fillId="7" borderId="8" xfId="0" applyFont="1" applyFill="1" applyBorder="1"/>
    <xf numFmtId="0" fontId="4" fillId="7" borderId="8" xfId="0" applyFont="1" applyFill="1" applyBorder="1"/>
    <xf numFmtId="0" fontId="35" fillId="7" borderId="8" xfId="0" applyFont="1" applyFill="1" applyBorder="1"/>
    <xf numFmtId="0" fontId="6" fillId="5" borderId="0" xfId="0" applyFont="1" applyFill="1" applyAlignment="1">
      <alignment horizontal="center"/>
    </xf>
    <xf numFmtId="9" fontId="6" fillId="5" borderId="0" xfId="3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9" fontId="6" fillId="6" borderId="0" xfId="3" applyFont="1" applyFill="1" applyBorder="1" applyAlignment="1">
      <alignment horizontal="center"/>
    </xf>
    <xf numFmtId="0" fontId="19" fillId="7" borderId="0" xfId="0" applyFont="1" applyFill="1"/>
    <xf numFmtId="0" fontId="36" fillId="7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9" fontId="6" fillId="10" borderId="0" xfId="3" applyFont="1" applyFill="1" applyBorder="1" applyAlignment="1">
      <alignment horizontal="center"/>
    </xf>
    <xf numFmtId="9" fontId="10" fillId="9" borderId="0" xfId="3" applyFont="1" applyFill="1" applyBorder="1" applyAlignment="1">
      <alignment horizontal="center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2" fontId="5" fillId="7" borderId="8" xfId="0" applyNumberFormat="1" applyFont="1" applyFill="1" applyBorder="1"/>
    <xf numFmtId="0" fontId="5" fillId="7" borderId="8" xfId="0" applyFont="1" applyFill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3" xfId="3" applyNumberFormat="1" applyFont="1" applyBorder="1" applyAlignment="1">
      <alignment horizontal="center"/>
    </xf>
    <xf numFmtId="0" fontId="5" fillId="7" borderId="13" xfId="0" applyFont="1" applyFill="1" applyBorder="1" applyAlignment="1">
      <alignment vertical="top" wrapText="1"/>
    </xf>
    <xf numFmtId="0" fontId="5" fillId="7" borderId="0" xfId="0" applyFont="1" applyFill="1" applyAlignment="1">
      <alignment vertical="top" wrapText="1"/>
    </xf>
    <xf numFmtId="0" fontId="5" fillId="7" borderId="14" xfId="0" applyFont="1" applyFill="1" applyBorder="1" applyAlignment="1">
      <alignment vertical="top" wrapText="1"/>
    </xf>
    <xf numFmtId="0" fontId="5" fillId="7" borderId="9" xfId="0" applyFont="1" applyFill="1" applyBorder="1" applyAlignment="1">
      <alignment vertical="top" wrapText="1"/>
    </xf>
    <xf numFmtId="0" fontId="5" fillId="7" borderId="16" xfId="0" applyFont="1" applyFill="1" applyBorder="1" applyAlignment="1">
      <alignment vertical="top" wrapText="1"/>
    </xf>
    <xf numFmtId="0" fontId="4" fillId="7" borderId="0" xfId="0" applyFont="1" applyFill="1" applyAlignment="1">
      <alignment horizontal="center" vertical="center"/>
    </xf>
    <xf numFmtId="0" fontId="27" fillId="7" borderId="0" xfId="2" applyFont="1" applyFill="1" applyAlignment="1">
      <alignment horizontal="center"/>
    </xf>
    <xf numFmtId="0" fontId="25" fillId="8" borderId="0" xfId="0" applyFont="1" applyFill="1" applyAlignment="1">
      <alignment horizontal="left"/>
    </xf>
    <xf numFmtId="0" fontId="26" fillId="8" borderId="0" xfId="0" applyFont="1" applyFill="1" applyAlignment="1">
      <alignment horizontal="left" vertical="center"/>
    </xf>
    <xf numFmtId="0" fontId="28" fillId="8" borderId="0" xfId="0" applyFont="1" applyFill="1" applyAlignment="1">
      <alignment horizontal="right" vertical="center"/>
    </xf>
    <xf numFmtId="0" fontId="27" fillId="8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34" fillId="8" borderId="0" xfId="0" applyFont="1" applyFill="1" applyAlignment="1">
      <alignment horizontal="left"/>
    </xf>
    <xf numFmtId="0" fontId="28" fillId="8" borderId="9" xfId="0" applyFont="1" applyFill="1" applyBorder="1" applyAlignment="1">
      <alignment horizontal="right" vertical="center"/>
    </xf>
    <xf numFmtId="0" fontId="5" fillId="7" borderId="10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0" fontId="5" fillId="7" borderId="13" xfId="0" applyFont="1" applyFill="1" applyBorder="1" applyAlignment="1">
      <alignment horizontal="left" vertical="top" wrapText="1"/>
    </xf>
    <xf numFmtId="0" fontId="5" fillId="7" borderId="0" xfId="0" applyFont="1" applyFill="1" applyAlignment="1">
      <alignment horizontal="left" vertical="top" wrapText="1"/>
    </xf>
    <xf numFmtId="0" fontId="5" fillId="7" borderId="14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0" fontId="5" fillId="7" borderId="9" xfId="0" applyFont="1" applyFill="1" applyBorder="1" applyAlignment="1">
      <alignment horizontal="left" vertical="top" wrapText="1"/>
    </xf>
    <xf numFmtId="0" fontId="5" fillId="7" borderId="16" xfId="0" applyFont="1" applyFill="1" applyBorder="1" applyAlignment="1">
      <alignment horizontal="left" vertical="top" wrapText="1"/>
    </xf>
    <xf numFmtId="0" fontId="5" fillId="7" borderId="0" xfId="0" applyFont="1" applyFill="1" applyBorder="1" applyAlignment="1">
      <alignment horizontal="left" vertical="top" wrapText="1"/>
    </xf>
    <xf numFmtId="0" fontId="5" fillId="0" borderId="10" xfId="0" applyFont="1" applyBorder="1"/>
    <xf numFmtId="0" fontId="5" fillId="7" borderId="12" xfId="0" applyFont="1" applyFill="1" applyBorder="1" applyAlignment="1">
      <alignment vertical="top" wrapText="1"/>
    </xf>
    <xf numFmtId="0" fontId="5" fillId="0" borderId="8" xfId="0" applyFont="1" applyBorder="1"/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E9C46A"/>
      <color rgb="FFEF4949"/>
      <color rgb="FFFF1F1F"/>
      <color rgb="FFFFC8DD"/>
      <color rgb="FFCDB4DB"/>
      <color rgb="FFE76F51"/>
      <color rgb="FF264653"/>
      <color rgb="FFF4A261"/>
      <color rgb="FFD4A3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6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7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8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6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6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0.png"/><Relationship Id="rId4" Type="http://schemas.openxmlformats.org/officeDocument/2006/relationships/image" Target="../media/image6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0.png"/><Relationship Id="rId4" Type="http://schemas.openxmlformats.org/officeDocument/2006/relationships/image" Target="../media/image6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0.png"/><Relationship Id="rId4" Type="http://schemas.openxmlformats.org/officeDocument/2006/relationships/image" Target="../media/image6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2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0.png"/><Relationship Id="rId4" Type="http://schemas.openxmlformats.org/officeDocument/2006/relationships/image" Target="../media/image12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7.png"/><Relationship Id="rId7" Type="http://schemas.openxmlformats.org/officeDocument/2006/relationships/image" Target="../media/image23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2.png"/><Relationship Id="rId5" Type="http://schemas.openxmlformats.org/officeDocument/2006/relationships/image" Target="../media/image9.png"/><Relationship Id="rId10" Type="http://schemas.openxmlformats.org/officeDocument/2006/relationships/image" Target="../media/image26.png"/><Relationship Id="rId4" Type="http://schemas.openxmlformats.org/officeDocument/2006/relationships/image" Target="../media/image8.png"/><Relationship Id="rId9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2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30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793.33319309225919</c:v>
                </c:pt>
                <c:pt idx="1">
                  <c:v>793.33319309225919</c:v>
                </c:pt>
                <c:pt idx="2">
                  <c:v>683.34758780995651</c:v>
                </c:pt>
                <c:pt idx="3">
                  <c:v>671.12444806417204</c:v>
                </c:pt>
                <c:pt idx="4">
                  <c:v>749.02431720563322</c:v>
                </c:pt>
                <c:pt idx="5">
                  <c:v>749.02431720563322</c:v>
                </c:pt>
                <c:pt idx="6">
                  <c:v>638.25679452853672</c:v>
                </c:pt>
                <c:pt idx="7">
                  <c:v>627.08672562876473</c:v>
                </c:pt>
                <c:pt idx="8">
                  <c:v>681.49867208714284</c:v>
                </c:pt>
                <c:pt idx="9">
                  <c:v>681.49867208714284</c:v>
                </c:pt>
                <c:pt idx="10">
                  <c:v>361.20204636638238</c:v>
                </c:pt>
                <c:pt idx="11">
                  <c:v>886.92769872390511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1265.2928734984678</c:v>
                </c:pt>
                <c:pt idx="1">
                  <c:v>1265.2928734984678</c:v>
                </c:pt>
                <c:pt idx="2">
                  <c:v>1158.929047652658</c:v>
                </c:pt>
                <c:pt idx="3">
                  <c:v>1076.0596532438901</c:v>
                </c:pt>
                <c:pt idx="4">
                  <c:v>949.79301355741711</c:v>
                </c:pt>
                <c:pt idx="5">
                  <c:v>949.79301355741711</c:v>
                </c:pt>
                <c:pt idx="6">
                  <c:v>844.38995401302645</c:v>
                </c:pt>
                <c:pt idx="7">
                  <c:v>832.84489185317307</c:v>
                </c:pt>
                <c:pt idx="8">
                  <c:v>1213.4112104221485</c:v>
                </c:pt>
                <c:pt idx="9">
                  <c:v>1213.4112104221485</c:v>
                </c:pt>
                <c:pt idx="10">
                  <c:v>1128.7669334777549</c:v>
                </c:pt>
                <c:pt idx="11">
                  <c:v>1579.3419151649869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471.95968040620858</c:v>
                </c:pt>
                <c:pt idx="1">
                  <c:v>471.95968040620858</c:v>
                </c:pt>
                <c:pt idx="2">
                  <c:v>475.58145984270146</c:v>
                </c:pt>
                <c:pt idx="3">
                  <c:v>404.93520517971791</c:v>
                </c:pt>
                <c:pt idx="4">
                  <c:v>200.76869635178389</c:v>
                </c:pt>
                <c:pt idx="5">
                  <c:v>200.76869635178389</c:v>
                </c:pt>
                <c:pt idx="6">
                  <c:v>206.13315948448968</c:v>
                </c:pt>
                <c:pt idx="7">
                  <c:v>205.75816622440846</c:v>
                </c:pt>
                <c:pt idx="8">
                  <c:v>531.91253833500559</c:v>
                </c:pt>
                <c:pt idx="9">
                  <c:v>531.91253833500559</c:v>
                </c:pt>
                <c:pt idx="10">
                  <c:v>767.56488711137263</c:v>
                </c:pt>
                <c:pt idx="11">
                  <c:v>692.41421644108175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793.33319309225919</c:v>
                </c:pt>
                <c:pt idx="1">
                  <c:v>793.33319309225919</c:v>
                </c:pt>
                <c:pt idx="2">
                  <c:v>683.34758780995651</c:v>
                </c:pt>
                <c:pt idx="3">
                  <c:v>671.12444806417204</c:v>
                </c:pt>
                <c:pt idx="4">
                  <c:v>749.02431720563322</c:v>
                </c:pt>
                <c:pt idx="5">
                  <c:v>749.02431720563322</c:v>
                </c:pt>
                <c:pt idx="6">
                  <c:v>638.25679452853672</c:v>
                </c:pt>
                <c:pt idx="7">
                  <c:v>627.08672562876473</c:v>
                </c:pt>
                <c:pt idx="8">
                  <c:v>681.49867208714284</c:v>
                </c:pt>
                <c:pt idx="9">
                  <c:v>681.49867208714284</c:v>
                </c:pt>
                <c:pt idx="10">
                  <c:v>361.20204636638238</c:v>
                </c:pt>
                <c:pt idx="11">
                  <c:v>886.92769872390511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1265.2928734984678</c:v>
                </c:pt>
                <c:pt idx="1">
                  <c:v>1265.2928734984678</c:v>
                </c:pt>
                <c:pt idx="2">
                  <c:v>1158.929047652658</c:v>
                </c:pt>
                <c:pt idx="3">
                  <c:v>1076.0596532438901</c:v>
                </c:pt>
                <c:pt idx="4">
                  <c:v>949.79301355741711</c:v>
                </c:pt>
                <c:pt idx="5">
                  <c:v>949.79301355741711</c:v>
                </c:pt>
                <c:pt idx="6">
                  <c:v>844.38995401302645</c:v>
                </c:pt>
                <c:pt idx="7">
                  <c:v>832.84489185317307</c:v>
                </c:pt>
                <c:pt idx="8">
                  <c:v>1213.4112104221485</c:v>
                </c:pt>
                <c:pt idx="9">
                  <c:v>1213.4112104221485</c:v>
                </c:pt>
                <c:pt idx="10">
                  <c:v>1128.7669334777549</c:v>
                </c:pt>
                <c:pt idx="11">
                  <c:v>1579.3419151649869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471.95968040620858</c:v>
                </c:pt>
                <c:pt idx="1">
                  <c:v>471.95968040620858</c:v>
                </c:pt>
                <c:pt idx="2">
                  <c:v>475.58145984270146</c:v>
                </c:pt>
                <c:pt idx="3">
                  <c:v>404.93520517971791</c:v>
                </c:pt>
                <c:pt idx="4">
                  <c:v>200.76869635178389</c:v>
                </c:pt>
                <c:pt idx="5">
                  <c:v>200.76869635178389</c:v>
                </c:pt>
                <c:pt idx="6">
                  <c:v>206.13315948448968</c:v>
                </c:pt>
                <c:pt idx="7">
                  <c:v>205.75816622440846</c:v>
                </c:pt>
                <c:pt idx="8">
                  <c:v>531.91253833500559</c:v>
                </c:pt>
                <c:pt idx="9">
                  <c:v>531.91253833500559</c:v>
                </c:pt>
                <c:pt idx="10">
                  <c:v>767.56488711137263</c:v>
                </c:pt>
                <c:pt idx="11">
                  <c:v>692.41421644108175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793.33319309225919</c:v>
                </c:pt>
                <c:pt idx="1">
                  <c:v>793.33319309225919</c:v>
                </c:pt>
                <c:pt idx="2">
                  <c:v>683.34758780995651</c:v>
                </c:pt>
                <c:pt idx="3">
                  <c:v>671.12444806417204</c:v>
                </c:pt>
                <c:pt idx="4">
                  <c:v>749.02431720563322</c:v>
                </c:pt>
                <c:pt idx="5">
                  <c:v>749.02431720563322</c:v>
                </c:pt>
                <c:pt idx="6">
                  <c:v>638.25679452853672</c:v>
                </c:pt>
                <c:pt idx="7">
                  <c:v>627.08672562876473</c:v>
                </c:pt>
                <c:pt idx="8">
                  <c:v>681.49867208714284</c:v>
                </c:pt>
                <c:pt idx="9">
                  <c:v>681.49867208714284</c:v>
                </c:pt>
                <c:pt idx="10">
                  <c:v>361.20204636638238</c:v>
                </c:pt>
                <c:pt idx="11">
                  <c:v>886.92769872390511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1265.2928734984678</c:v>
                </c:pt>
                <c:pt idx="1">
                  <c:v>1265.2928734984678</c:v>
                </c:pt>
                <c:pt idx="2">
                  <c:v>1158.929047652658</c:v>
                </c:pt>
                <c:pt idx="3">
                  <c:v>1076.0596532438901</c:v>
                </c:pt>
                <c:pt idx="4">
                  <c:v>949.79301355741711</c:v>
                </c:pt>
                <c:pt idx="5">
                  <c:v>949.79301355741711</c:v>
                </c:pt>
                <c:pt idx="6">
                  <c:v>844.38995401302645</c:v>
                </c:pt>
                <c:pt idx="7">
                  <c:v>832.84489185317307</c:v>
                </c:pt>
                <c:pt idx="8">
                  <c:v>1213.4112104221485</c:v>
                </c:pt>
                <c:pt idx="9">
                  <c:v>1213.4112104221485</c:v>
                </c:pt>
                <c:pt idx="10">
                  <c:v>1128.7669334777549</c:v>
                </c:pt>
                <c:pt idx="11">
                  <c:v>1579.3419151649869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1.2484894400348823</c:v>
                </c:pt>
                <c:pt idx="1">
                  <c:v>1.2484894400348823</c:v>
                </c:pt>
                <c:pt idx="2">
                  <c:v>1.5411024500522326</c:v>
                </c:pt>
                <c:pt idx="3">
                  <c:v>1.4347839931814408</c:v>
                </c:pt>
                <c:pt idx="4">
                  <c:v>0.87593173543978953</c:v>
                </c:pt>
                <c:pt idx="5">
                  <c:v>0.87593173543978953</c:v>
                </c:pt>
                <c:pt idx="6">
                  <c:v>1.1052951824595512</c:v>
                </c:pt>
                <c:pt idx="7">
                  <c:v>1.11408359041301</c:v>
                </c:pt>
                <c:pt idx="8">
                  <c:v>1.4226194092175497</c:v>
                </c:pt>
                <c:pt idx="9">
                  <c:v>1.4226194092175497</c:v>
                </c:pt>
                <c:pt idx="10">
                  <c:v>-0.90546677019226829</c:v>
                </c:pt>
                <c:pt idx="11">
                  <c:v>-7.2870269582598963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793.33319309225919</c:v>
                </c:pt>
                <c:pt idx="1">
                  <c:v>793.33319309225919</c:v>
                </c:pt>
                <c:pt idx="2">
                  <c:v>683.34758780995651</c:v>
                </c:pt>
                <c:pt idx="3">
                  <c:v>671.12444806417204</c:v>
                </c:pt>
                <c:pt idx="4">
                  <c:v>749.02431720563322</c:v>
                </c:pt>
                <c:pt idx="5">
                  <c:v>749.02431720563322</c:v>
                </c:pt>
                <c:pt idx="6">
                  <c:v>638.25679452853672</c:v>
                </c:pt>
                <c:pt idx="7">
                  <c:v>627.08672562876473</c:v>
                </c:pt>
                <c:pt idx="8">
                  <c:v>681.49867208714284</c:v>
                </c:pt>
                <c:pt idx="9">
                  <c:v>681.49867208714284</c:v>
                </c:pt>
                <c:pt idx="10">
                  <c:v>361.20204636638238</c:v>
                </c:pt>
                <c:pt idx="11">
                  <c:v>886.92769872390511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200.00000000000003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200.00000000000003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200.00000000000003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1.2484894400348823</c:v>
                </c:pt>
                <c:pt idx="1">
                  <c:v>1.2484894400348823</c:v>
                </c:pt>
                <c:pt idx="2">
                  <c:v>1.5411024500522326</c:v>
                </c:pt>
                <c:pt idx="3">
                  <c:v>1.4347839931814408</c:v>
                </c:pt>
                <c:pt idx="4">
                  <c:v>0.87593173543978953</c:v>
                </c:pt>
                <c:pt idx="5">
                  <c:v>0.87593173543978953</c:v>
                </c:pt>
                <c:pt idx="6">
                  <c:v>1.1052951824595512</c:v>
                </c:pt>
                <c:pt idx="7">
                  <c:v>1.11408359041301</c:v>
                </c:pt>
                <c:pt idx="8">
                  <c:v>1.4226194092175497</c:v>
                </c:pt>
                <c:pt idx="9">
                  <c:v>1.4226194092175497</c:v>
                </c:pt>
                <c:pt idx="10">
                  <c:v>-0.90546677019226829</c:v>
                </c:pt>
                <c:pt idx="11">
                  <c:v>-7.2870269582598963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200.00000000000003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200.00000000000003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200.00000000000003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73378</c:v>
                </c:pt>
                <c:pt idx="1">
                  <c:v>73378</c:v>
                </c:pt>
                <c:pt idx="2">
                  <c:v>18919</c:v>
                </c:pt>
                <c:pt idx="3">
                  <c:v>56893</c:v>
                </c:pt>
                <c:pt idx="4">
                  <c:v>73378</c:v>
                </c:pt>
                <c:pt idx="5">
                  <c:v>73378</c:v>
                </c:pt>
                <c:pt idx="6">
                  <c:v>18919</c:v>
                </c:pt>
                <c:pt idx="7">
                  <c:v>56893</c:v>
                </c:pt>
                <c:pt idx="8">
                  <c:v>73378</c:v>
                </c:pt>
                <c:pt idx="9">
                  <c:v>73378</c:v>
                </c:pt>
                <c:pt idx="10">
                  <c:v>18919</c:v>
                </c:pt>
                <c:pt idx="11">
                  <c:v>56893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200.00000000000003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200.00000000000003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200.00000000000003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596.15300000000002</c:v>
                </c:pt>
                <c:pt idx="1">
                  <c:v>596.15300000000002</c:v>
                </c:pt>
                <c:pt idx="2">
                  <c:v>507.44234841323436</c:v>
                </c:pt>
                <c:pt idx="3">
                  <c:v>526.40523994961814</c:v>
                </c:pt>
                <c:pt idx="4">
                  <c:v>596.15300000000002</c:v>
                </c:pt>
                <c:pt idx="5">
                  <c:v>596.15300000000002</c:v>
                </c:pt>
                <c:pt idx="6">
                  <c:v>507.44234841323436</c:v>
                </c:pt>
                <c:pt idx="7">
                  <c:v>526.40523994961814</c:v>
                </c:pt>
                <c:pt idx="8">
                  <c:v>596.15300000000002</c:v>
                </c:pt>
                <c:pt idx="9">
                  <c:v>596.15300000000002</c:v>
                </c:pt>
                <c:pt idx="10">
                  <c:v>507.44234841323436</c:v>
                </c:pt>
                <c:pt idx="11">
                  <c:v>526.40523994961814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53.439</c:v>
                </c:pt>
                <c:pt idx="1">
                  <c:v>53.439</c:v>
                </c:pt>
                <c:pt idx="2">
                  <c:v>39.660825377863191</c:v>
                </c:pt>
                <c:pt idx="3">
                  <c:v>8.7778784215446954</c:v>
                </c:pt>
                <c:pt idx="4">
                  <c:v>53.439</c:v>
                </c:pt>
                <c:pt idx="5">
                  <c:v>53.439</c:v>
                </c:pt>
                <c:pt idx="6">
                  <c:v>39.660825377863191</c:v>
                </c:pt>
                <c:pt idx="7">
                  <c:v>8.7778784215446954</c:v>
                </c:pt>
                <c:pt idx="8">
                  <c:v>0</c:v>
                </c:pt>
                <c:pt idx="9">
                  <c:v>0</c:v>
                </c:pt>
                <c:pt idx="10">
                  <c:v>7.9612731522360169</c:v>
                </c:pt>
                <c:pt idx="11">
                  <c:v>439.75797403002122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25.739401664939734</c:v>
                </c:pt>
                <c:pt idx="1">
                  <c:v>25.739401664939734</c:v>
                </c:pt>
                <c:pt idx="2">
                  <c:v>25.739401664939738</c:v>
                </c:pt>
                <c:pt idx="3">
                  <c:v>25.739401664939734</c:v>
                </c:pt>
                <c:pt idx="4">
                  <c:v>25.739401664939734</c:v>
                </c:pt>
                <c:pt idx="5">
                  <c:v>25.739401664939734</c:v>
                </c:pt>
                <c:pt idx="6">
                  <c:v>25.739401664939738</c:v>
                </c:pt>
                <c:pt idx="7">
                  <c:v>25.739401664939734</c:v>
                </c:pt>
                <c:pt idx="8">
                  <c:v>25.739401664939734</c:v>
                </c:pt>
                <c:pt idx="9">
                  <c:v>25.739401664939734</c:v>
                </c:pt>
                <c:pt idx="10">
                  <c:v>25.739401664939738</c:v>
                </c:pt>
                <c:pt idx="11">
                  <c:v>25.739401664939734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4.7373368764321588</c:v>
                </c:pt>
                <c:pt idx="1">
                  <c:v>4.7373368764321588</c:v>
                </c:pt>
                <c:pt idx="2">
                  <c:v>4.737336876432158</c:v>
                </c:pt>
                <c:pt idx="3">
                  <c:v>5.911989279781297</c:v>
                </c:pt>
                <c:pt idx="4">
                  <c:v>9.966071104900097</c:v>
                </c:pt>
                <c:pt idx="5">
                  <c:v>9.966071104900097</c:v>
                </c:pt>
                <c:pt idx="6">
                  <c:v>9.9660711049000987</c:v>
                </c:pt>
                <c:pt idx="7">
                  <c:v>9.966071104900097</c:v>
                </c:pt>
                <c:pt idx="8">
                  <c:v>4.7373368764321588</c:v>
                </c:pt>
                <c:pt idx="9">
                  <c:v>4.7373368764321588</c:v>
                </c:pt>
                <c:pt idx="10">
                  <c:v>4.737336876432158</c:v>
                </c:pt>
                <c:pt idx="11">
                  <c:v>4.7373368764321588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73378</c:v>
                </c:pt>
                <c:pt idx="1">
                  <c:v>73378</c:v>
                </c:pt>
                <c:pt idx="2">
                  <c:v>18919</c:v>
                </c:pt>
                <c:pt idx="3">
                  <c:v>56893</c:v>
                </c:pt>
                <c:pt idx="4">
                  <c:v>73378</c:v>
                </c:pt>
                <c:pt idx="5">
                  <c:v>73378</c:v>
                </c:pt>
                <c:pt idx="6">
                  <c:v>18919</c:v>
                </c:pt>
                <c:pt idx="7">
                  <c:v>56893</c:v>
                </c:pt>
                <c:pt idx="8">
                  <c:v>73378</c:v>
                </c:pt>
                <c:pt idx="9">
                  <c:v>73378</c:v>
                </c:pt>
                <c:pt idx="10">
                  <c:v>18919</c:v>
                </c:pt>
                <c:pt idx="11">
                  <c:v>56893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85.345489880193526</c:v>
                </c:pt>
                <c:pt idx="1">
                  <c:v>85.345489880193526</c:v>
                </c:pt>
                <c:pt idx="2">
                  <c:v>120.78209503798321</c:v>
                </c:pt>
                <c:pt idx="3">
                  <c:v>122.42924907584413</c:v>
                </c:pt>
                <c:pt idx="4">
                  <c:v>91.560620588688693</c:v>
                </c:pt>
                <c:pt idx="5">
                  <c:v>91.560620588688693</c:v>
                </c:pt>
                <c:pt idx="6">
                  <c:v>126.99832216292418</c:v>
                </c:pt>
                <c:pt idx="7">
                  <c:v>127.24841438742824</c:v>
                </c:pt>
                <c:pt idx="8">
                  <c:v>55.852699413841925</c:v>
                </c:pt>
                <c:pt idx="9">
                  <c:v>55.852699413841925</c:v>
                </c:pt>
                <c:pt idx="10">
                  <c:v>63.908912492106609</c:v>
                </c:pt>
                <c:pt idx="11">
                  <c:v>64.159032132771074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16.028041553657353</c:v>
                </c:pt>
                <c:pt idx="1">
                  <c:v>16.028041553657353</c:v>
                </c:pt>
                <c:pt idx="2">
                  <c:v>23.659077564284253</c:v>
                </c:pt>
                <c:pt idx="3">
                  <c:v>24.212645877535373</c:v>
                </c:pt>
                <c:pt idx="4">
                  <c:v>17.774656968432353</c:v>
                </c:pt>
                <c:pt idx="5">
                  <c:v>17.774656968432353</c:v>
                </c:pt>
                <c:pt idx="6">
                  <c:v>25.703684923029517</c:v>
                </c:pt>
                <c:pt idx="7">
                  <c:v>25.446692328169426</c:v>
                </c:pt>
                <c:pt idx="8">
                  <c:v>12.970604400316054</c:v>
                </c:pt>
                <c:pt idx="9">
                  <c:v>12.970604400316054</c:v>
                </c:pt>
                <c:pt idx="10">
                  <c:v>17.77016849936836</c:v>
                </c:pt>
                <c:pt idx="11">
                  <c:v>19.710027483765991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25.739401664939734</c:v>
                </c:pt>
                <c:pt idx="1">
                  <c:v>25.739401664939734</c:v>
                </c:pt>
                <c:pt idx="2">
                  <c:v>25.739401664939738</c:v>
                </c:pt>
                <c:pt idx="3">
                  <c:v>25.739401664939734</c:v>
                </c:pt>
                <c:pt idx="4">
                  <c:v>25.739401664939734</c:v>
                </c:pt>
                <c:pt idx="5">
                  <c:v>25.739401664939734</c:v>
                </c:pt>
                <c:pt idx="6">
                  <c:v>25.739401664939738</c:v>
                </c:pt>
                <c:pt idx="7">
                  <c:v>25.739401664939734</c:v>
                </c:pt>
                <c:pt idx="8">
                  <c:v>25.739401664939734</c:v>
                </c:pt>
                <c:pt idx="9">
                  <c:v>25.739401664939734</c:v>
                </c:pt>
                <c:pt idx="10">
                  <c:v>25.739401664939738</c:v>
                </c:pt>
                <c:pt idx="11">
                  <c:v>25.739401664939734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25.739401664939734</c:v>
                </c:pt>
                <c:pt idx="1">
                  <c:v>25.739401664939734</c:v>
                </c:pt>
                <c:pt idx="2">
                  <c:v>25.739401664939738</c:v>
                </c:pt>
                <c:pt idx="3">
                  <c:v>25.739401664939734</c:v>
                </c:pt>
                <c:pt idx="4">
                  <c:v>25.739401664939734</c:v>
                </c:pt>
                <c:pt idx="5">
                  <c:v>25.739401664939734</c:v>
                </c:pt>
                <c:pt idx="6">
                  <c:v>25.739401664939738</c:v>
                </c:pt>
                <c:pt idx="7">
                  <c:v>25.739401664939734</c:v>
                </c:pt>
                <c:pt idx="8">
                  <c:v>25.739401664939734</c:v>
                </c:pt>
                <c:pt idx="9">
                  <c:v>25.739401664939734</c:v>
                </c:pt>
                <c:pt idx="10">
                  <c:v>25.739401664939738</c:v>
                </c:pt>
                <c:pt idx="11">
                  <c:v>25.739401664939734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471.95968040620858</c:v>
                </c:pt>
                <c:pt idx="1">
                  <c:v>471.95968040620858</c:v>
                </c:pt>
                <c:pt idx="2">
                  <c:v>475.58145984270146</c:v>
                </c:pt>
                <c:pt idx="3">
                  <c:v>404.93520517971791</c:v>
                </c:pt>
                <c:pt idx="4">
                  <c:v>200.76869635178389</c:v>
                </c:pt>
                <c:pt idx="5">
                  <c:v>200.76869635178389</c:v>
                </c:pt>
                <c:pt idx="6">
                  <c:v>206.13315948448968</c:v>
                </c:pt>
                <c:pt idx="7">
                  <c:v>205.75816622440846</c:v>
                </c:pt>
                <c:pt idx="8">
                  <c:v>531.91253833500559</c:v>
                </c:pt>
                <c:pt idx="9">
                  <c:v>531.91253833500559</c:v>
                </c:pt>
                <c:pt idx="10">
                  <c:v>767.56488711137263</c:v>
                </c:pt>
                <c:pt idx="11">
                  <c:v>692.41421644108175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793.33319309225919</c:v>
                </c:pt>
                <c:pt idx="1">
                  <c:v>793.33319309225919</c:v>
                </c:pt>
                <c:pt idx="2">
                  <c:v>683.34758780995651</c:v>
                </c:pt>
                <c:pt idx="3">
                  <c:v>671.12444806417204</c:v>
                </c:pt>
                <c:pt idx="4">
                  <c:v>749.02431720563322</c:v>
                </c:pt>
                <c:pt idx="5">
                  <c:v>749.02431720563322</c:v>
                </c:pt>
                <c:pt idx="6">
                  <c:v>638.25679452853672</c:v>
                </c:pt>
                <c:pt idx="7">
                  <c:v>627.08672562876473</c:v>
                </c:pt>
                <c:pt idx="8">
                  <c:v>681.49867208714284</c:v>
                </c:pt>
                <c:pt idx="9">
                  <c:v>681.49867208714284</c:v>
                </c:pt>
                <c:pt idx="10">
                  <c:v>361.20204636638238</c:v>
                </c:pt>
                <c:pt idx="11">
                  <c:v>886.92769872390511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1.2484894400348823</c:v>
                </c:pt>
                <c:pt idx="1">
                  <c:v>1.2484894400348823</c:v>
                </c:pt>
                <c:pt idx="2">
                  <c:v>1.5411024500522326</c:v>
                </c:pt>
                <c:pt idx="3">
                  <c:v>1.4347839931814408</c:v>
                </c:pt>
                <c:pt idx="4">
                  <c:v>0.87593173543978953</c:v>
                </c:pt>
                <c:pt idx="5">
                  <c:v>0.87593173543978953</c:v>
                </c:pt>
                <c:pt idx="6">
                  <c:v>1.1052951824595512</c:v>
                </c:pt>
                <c:pt idx="7">
                  <c:v>1.11408359041301</c:v>
                </c:pt>
                <c:pt idx="8">
                  <c:v>1.4226194092175497</c:v>
                </c:pt>
                <c:pt idx="9">
                  <c:v>1.4226194092175497</c:v>
                </c:pt>
                <c:pt idx="10">
                  <c:v>-0.90546677019226829</c:v>
                </c:pt>
                <c:pt idx="11">
                  <c:v>-7.2870269582598963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585.24998492033285</c:v>
                </c:pt>
                <c:pt idx="1">
                  <c:v>585.24998492033285</c:v>
                </c:pt>
                <c:pt idx="2">
                  <c:v>624.81932195204536</c:v>
                </c:pt>
                <c:pt idx="3">
                  <c:v>619.22568381607039</c:v>
                </c:pt>
                <c:pt idx="4">
                  <c:v>555.52648726216694</c:v>
                </c:pt>
                <c:pt idx="5">
                  <c:v>555.52648726216694</c:v>
                </c:pt>
                <c:pt idx="6">
                  <c:v>588.84004848630764</c:v>
                </c:pt>
                <c:pt idx="7">
                  <c:v>586.54175128826967</c:v>
                </c:pt>
                <c:pt idx="8">
                  <c:v>445.94673024873606</c:v>
                </c:pt>
                <c:pt idx="9">
                  <c:v>445.94673024873606</c:v>
                </c:pt>
                <c:pt idx="10">
                  <c:v>406.8004619120947</c:v>
                </c:pt>
                <c:pt idx="11">
                  <c:v>834.04088545427066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158.25416765936461</c:v>
                </c:pt>
                <c:pt idx="1">
                  <c:v>158.25416765936461</c:v>
                </c:pt>
                <c:pt idx="2">
                  <c:v>166.14751919586803</c:v>
                </c:pt>
                <c:pt idx="3">
                  <c:v>154.59670718900628</c:v>
                </c:pt>
                <c:pt idx="4">
                  <c:v>106.64006786049795</c:v>
                </c:pt>
                <c:pt idx="5">
                  <c:v>106.64006786049795</c:v>
                </c:pt>
                <c:pt idx="6">
                  <c:v>115.5586056991563</c:v>
                </c:pt>
                <c:pt idx="7">
                  <c:v>114.78780897275051</c:v>
                </c:pt>
                <c:pt idx="8">
                  <c:v>81.594999999999999</c:v>
                </c:pt>
                <c:pt idx="9">
                  <c:v>81.594999999999999</c:v>
                </c:pt>
                <c:pt idx="10">
                  <c:v>88.091000828566962</c:v>
                </c:pt>
                <c:pt idx="11">
                  <c:v>440.41551890979588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278.15488441013269</c:v>
                </c:pt>
                <c:pt idx="1">
                  <c:v>278.15488441013269</c:v>
                </c:pt>
                <c:pt idx="2">
                  <c:v>306.57422961802149</c:v>
                </c:pt>
                <c:pt idx="3">
                  <c:v>315.6219385502859</c:v>
                </c:pt>
                <c:pt idx="4">
                  <c:v>306.01863602348368</c:v>
                </c:pt>
                <c:pt idx="5">
                  <c:v>306.01863602348368</c:v>
                </c:pt>
                <c:pt idx="6">
                  <c:v>338.03382443662719</c:v>
                </c:pt>
                <c:pt idx="7">
                  <c:v>338.03382443662719</c:v>
                </c:pt>
                <c:pt idx="8">
                  <c:v>248.12748545234274</c:v>
                </c:pt>
                <c:pt idx="9">
                  <c:v>248.12748545234274</c:v>
                </c:pt>
                <c:pt idx="10">
                  <c:v>248.12748545234277</c:v>
                </c:pt>
                <c:pt idx="11">
                  <c:v>248.1274854523428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148.84093285083557</c:v>
                </c:pt>
                <c:pt idx="1">
                  <c:v>148.84093285083557</c:v>
                </c:pt>
                <c:pt idx="2">
                  <c:v>152.09757313815578</c:v>
                </c:pt>
                <c:pt idx="3">
                  <c:v>149.00703807677812</c:v>
                </c:pt>
                <c:pt idx="4">
                  <c:v>142.86778337818538</c:v>
                </c:pt>
                <c:pt idx="5">
                  <c:v>142.86778337818538</c:v>
                </c:pt>
                <c:pt idx="6">
                  <c:v>135.24761835052416</c:v>
                </c:pt>
                <c:pt idx="7">
                  <c:v>133.7201178788919</c:v>
                </c:pt>
                <c:pt idx="8">
                  <c:v>116.22424479639334</c:v>
                </c:pt>
                <c:pt idx="9">
                  <c:v>116.22424479639334</c:v>
                </c:pt>
                <c:pt idx="10">
                  <c:v>70.581975631184974</c:v>
                </c:pt>
                <c:pt idx="11">
                  <c:v>145.49788109213196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25.739401664939734</c:v>
                </c:pt>
                <c:pt idx="1">
                  <c:v>25.739401664939734</c:v>
                </c:pt>
                <c:pt idx="2">
                  <c:v>25.739401664939738</c:v>
                </c:pt>
                <c:pt idx="3">
                  <c:v>25.739401664939734</c:v>
                </c:pt>
                <c:pt idx="4">
                  <c:v>25.739401664939734</c:v>
                </c:pt>
                <c:pt idx="5">
                  <c:v>25.739401664939734</c:v>
                </c:pt>
                <c:pt idx="6">
                  <c:v>25.739401664939738</c:v>
                </c:pt>
                <c:pt idx="7">
                  <c:v>25.739401664939734</c:v>
                </c:pt>
                <c:pt idx="8">
                  <c:v>25.739401664939734</c:v>
                </c:pt>
                <c:pt idx="9">
                  <c:v>25.739401664939734</c:v>
                </c:pt>
                <c:pt idx="10">
                  <c:v>25.739401664939738</c:v>
                </c:pt>
                <c:pt idx="11">
                  <c:v>25.739401664939734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158.25416765936461</c:v>
                </c:pt>
                <c:pt idx="1">
                  <c:v>158.25416765936461</c:v>
                </c:pt>
                <c:pt idx="2">
                  <c:v>166.14751919586803</c:v>
                </c:pt>
                <c:pt idx="3">
                  <c:v>154.59670718900628</c:v>
                </c:pt>
                <c:pt idx="4">
                  <c:v>106.64006786049795</c:v>
                </c:pt>
                <c:pt idx="5">
                  <c:v>106.64006786049795</c:v>
                </c:pt>
                <c:pt idx="6">
                  <c:v>115.5586056991563</c:v>
                </c:pt>
                <c:pt idx="7">
                  <c:v>114.78780897275051</c:v>
                </c:pt>
                <c:pt idx="8">
                  <c:v>81.594999999999999</c:v>
                </c:pt>
                <c:pt idx="9">
                  <c:v>81.594999999999999</c:v>
                </c:pt>
                <c:pt idx="10">
                  <c:v>88.091000828566962</c:v>
                </c:pt>
                <c:pt idx="11">
                  <c:v>440.41551890979588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158.25416765936461</c:v>
                </c:pt>
                <c:pt idx="1">
                  <c:v>158.25416765936461</c:v>
                </c:pt>
                <c:pt idx="2">
                  <c:v>166.14751919586803</c:v>
                </c:pt>
                <c:pt idx="3">
                  <c:v>154.59670718900628</c:v>
                </c:pt>
                <c:pt idx="4">
                  <c:v>106.64006786049795</c:v>
                </c:pt>
                <c:pt idx="5">
                  <c:v>106.64006786049795</c:v>
                </c:pt>
                <c:pt idx="6">
                  <c:v>115.5586056991563</c:v>
                </c:pt>
                <c:pt idx="7">
                  <c:v>114.78780897275051</c:v>
                </c:pt>
                <c:pt idx="8">
                  <c:v>81.594999999999999</c:v>
                </c:pt>
                <c:pt idx="9">
                  <c:v>81.594999999999999</c:v>
                </c:pt>
                <c:pt idx="10">
                  <c:v>88.091000828566962</c:v>
                </c:pt>
                <c:pt idx="11">
                  <c:v>440.41551890979588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0.42499999999999999</c:v>
                </c:pt>
                <c:pt idx="1">
                  <c:v>0.42499999999999999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0.42499999999999999</c:v>
                </c:pt>
                <c:pt idx="5">
                  <c:v>0.42499999999999999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0.42499999999999999</c:v>
                </c:pt>
                <c:pt idx="9">
                  <c:v>0.42499999999999999</c:v>
                </c:pt>
                <c:pt idx="10">
                  <c:v>0.42499999999999999</c:v>
                </c:pt>
                <c:pt idx="11">
                  <c:v>0.42499999999999999</c:v>
                </c:pt>
                <c:pt idx="12">
                  <c:v>0.42499999999999999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F890C2A-763F-49DB-A322-13199747AFF4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805665-2720-4E35-91DA-18384A2E5C0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E614DE-CD1C-4730-A204-37866C97699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0A1E1B-31C6-48B9-8C4A-395641C53FD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  <c:numCache>
                <c:formatCode>0</c:formatCode>
                <c:ptCount val="4"/>
                <c:pt idx="0">
                  <c:v>793.33319309225919</c:v>
                </c:pt>
                <c:pt idx="1">
                  <c:v>793.33319309225919</c:v>
                </c:pt>
                <c:pt idx="2">
                  <c:v>683.34758780995651</c:v>
                </c:pt>
                <c:pt idx="3">
                  <c:v>671.12444806417204</c:v>
                </c:pt>
              </c:numCache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1.2484894400348823</c:v>
                </c:pt>
                <c:pt idx="1">
                  <c:v>1.2484894400348823</c:v>
                </c:pt>
                <c:pt idx="2">
                  <c:v>1.5411024500522326</c:v>
                </c:pt>
                <c:pt idx="3">
                  <c:v>1.4347839931814408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6BDFC78-A3B8-4B26-BC4A-64B13F84DE6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22C45F-A6C3-4600-8A7A-77EF902BC12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4EBB6CA-5995-49DA-8226-514EE846B78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B71BCF-8006-4D6B-8B6B-2F71C849936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  <c:numCache>
                <c:formatCode>0</c:formatCode>
                <c:ptCount val="4"/>
                <c:pt idx="0">
                  <c:v>749.02431720563322</c:v>
                </c:pt>
                <c:pt idx="1">
                  <c:v>749.02431720563322</c:v>
                </c:pt>
                <c:pt idx="2">
                  <c:v>638.25679452853672</c:v>
                </c:pt>
                <c:pt idx="3">
                  <c:v>627.08672562876473</c:v>
                </c:pt>
              </c:numCache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0.87593173543978953</c:v>
                </c:pt>
                <c:pt idx="1">
                  <c:v>0.87593173543978953</c:v>
                </c:pt>
                <c:pt idx="2">
                  <c:v>1.1052951824595512</c:v>
                </c:pt>
                <c:pt idx="3">
                  <c:v>1.11408359041301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36C6897-BD0A-44D1-B158-9C4EEEC1BAA5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A92F73-E293-4BB5-B2E7-E755FB1033C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48850F-6294-427A-A74E-D921820DE26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C68B42A-5109-473B-B86C-9F9C8CD658A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  <c:numCache>
                <c:formatCode>0</c:formatCode>
                <c:ptCount val="4"/>
                <c:pt idx="0">
                  <c:v>681.49867208714284</c:v>
                </c:pt>
                <c:pt idx="1">
                  <c:v>681.49867208714284</c:v>
                </c:pt>
                <c:pt idx="2">
                  <c:v>361.20204636638238</c:v>
                </c:pt>
                <c:pt idx="3">
                  <c:v>886.92769872390511</c:v>
                </c:pt>
              </c:numCache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1.4226194092175497</c:v>
                </c:pt>
                <c:pt idx="1">
                  <c:v>1.4226194092175497</c:v>
                </c:pt>
                <c:pt idx="2">
                  <c:v>-0.90546677019226829</c:v>
                </c:pt>
                <c:pt idx="3">
                  <c:v>-7.2870269582598963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1265.2928734984678</c:v>
                </c:pt>
                <c:pt idx="1">
                  <c:v>1265.2928734984678</c:v>
                </c:pt>
                <c:pt idx="2">
                  <c:v>1158.929047652658</c:v>
                </c:pt>
                <c:pt idx="3">
                  <c:v>1076.0596532438901</c:v>
                </c:pt>
                <c:pt idx="4">
                  <c:v>949.79301355741711</c:v>
                </c:pt>
                <c:pt idx="5">
                  <c:v>949.79301355741711</c:v>
                </c:pt>
                <c:pt idx="6">
                  <c:v>844.38995401302645</c:v>
                </c:pt>
                <c:pt idx="7">
                  <c:v>832.84489185317307</c:v>
                </c:pt>
                <c:pt idx="8">
                  <c:v>1213.4112104221485</c:v>
                </c:pt>
                <c:pt idx="9">
                  <c:v>1213.4112104221485</c:v>
                </c:pt>
                <c:pt idx="10">
                  <c:v>1128.7669334777549</c:v>
                </c:pt>
                <c:pt idx="11">
                  <c:v>1579.3419151649869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793.33319309225919</c:v>
                </c:pt>
                <c:pt idx="1">
                  <c:v>793.33319309225919</c:v>
                </c:pt>
                <c:pt idx="2">
                  <c:v>683.34758780995651</c:v>
                </c:pt>
                <c:pt idx="3">
                  <c:v>671.12444806417204</c:v>
                </c:pt>
                <c:pt idx="4">
                  <c:v>749.02431720563322</c:v>
                </c:pt>
                <c:pt idx="5">
                  <c:v>749.02431720563322</c:v>
                </c:pt>
                <c:pt idx="6">
                  <c:v>638.25679452853672</c:v>
                </c:pt>
                <c:pt idx="7">
                  <c:v>627.08672562876473</c:v>
                </c:pt>
                <c:pt idx="8">
                  <c:v>681.49867208714284</c:v>
                </c:pt>
                <c:pt idx="9">
                  <c:v>681.49867208714284</c:v>
                </c:pt>
                <c:pt idx="10">
                  <c:v>361.20204636638238</c:v>
                </c:pt>
                <c:pt idx="11">
                  <c:v>886.92769872390511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585.24998492033285</c:v>
                </c:pt>
                <c:pt idx="1">
                  <c:v>585.24998492033285</c:v>
                </c:pt>
                <c:pt idx="2">
                  <c:v>624.81932195204536</c:v>
                </c:pt>
                <c:pt idx="3">
                  <c:v>619.22568381607039</c:v>
                </c:pt>
                <c:pt idx="4">
                  <c:v>555.52648726216694</c:v>
                </c:pt>
                <c:pt idx="5">
                  <c:v>555.52648726216694</c:v>
                </c:pt>
                <c:pt idx="6">
                  <c:v>588.84004848630764</c:v>
                </c:pt>
                <c:pt idx="7">
                  <c:v>586.54175128826967</c:v>
                </c:pt>
                <c:pt idx="8">
                  <c:v>445.94673024873606</c:v>
                </c:pt>
                <c:pt idx="9">
                  <c:v>445.94673024873606</c:v>
                </c:pt>
                <c:pt idx="10">
                  <c:v>406.8004619120947</c:v>
                </c:pt>
                <c:pt idx="11">
                  <c:v>834.04088545427066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1265.2928734984678</c:v>
                </c:pt>
                <c:pt idx="1">
                  <c:v>1265.2928734984678</c:v>
                </c:pt>
                <c:pt idx="2">
                  <c:v>1158.929047652658</c:v>
                </c:pt>
                <c:pt idx="3">
                  <c:v>1076.0596532438901</c:v>
                </c:pt>
                <c:pt idx="4">
                  <c:v>949.79301355741711</c:v>
                </c:pt>
                <c:pt idx="5">
                  <c:v>949.79301355741711</c:v>
                </c:pt>
                <c:pt idx="6">
                  <c:v>844.38995401302645</c:v>
                </c:pt>
                <c:pt idx="7">
                  <c:v>832.84489185317307</c:v>
                </c:pt>
                <c:pt idx="8">
                  <c:v>1213.4112104221485</c:v>
                </c:pt>
                <c:pt idx="9">
                  <c:v>1213.4112104221485</c:v>
                </c:pt>
                <c:pt idx="10">
                  <c:v>1128.7669334777549</c:v>
                </c:pt>
                <c:pt idx="11">
                  <c:v>1579.3419151649869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793.33319309225919</c:v>
                </c:pt>
                <c:pt idx="1">
                  <c:v>793.33319309225919</c:v>
                </c:pt>
                <c:pt idx="2">
                  <c:v>683.34758780995651</c:v>
                </c:pt>
                <c:pt idx="3">
                  <c:v>671.12444806417204</c:v>
                </c:pt>
                <c:pt idx="4">
                  <c:v>749.02431720563322</c:v>
                </c:pt>
                <c:pt idx="5">
                  <c:v>749.02431720563322</c:v>
                </c:pt>
                <c:pt idx="6">
                  <c:v>638.25679452853672</c:v>
                </c:pt>
                <c:pt idx="7">
                  <c:v>627.08672562876473</c:v>
                </c:pt>
                <c:pt idx="8">
                  <c:v>681.49867208714284</c:v>
                </c:pt>
                <c:pt idx="9">
                  <c:v>681.49867208714284</c:v>
                </c:pt>
                <c:pt idx="10">
                  <c:v>361.20204636638238</c:v>
                </c:pt>
                <c:pt idx="11">
                  <c:v>886.92769872390511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585.24998492033285</c:v>
                </c:pt>
                <c:pt idx="1">
                  <c:v>585.24998492033285</c:v>
                </c:pt>
                <c:pt idx="2">
                  <c:v>624.81932195204536</c:v>
                </c:pt>
                <c:pt idx="3">
                  <c:v>619.22568381607039</c:v>
                </c:pt>
                <c:pt idx="4">
                  <c:v>555.52648726216694</c:v>
                </c:pt>
                <c:pt idx="5">
                  <c:v>555.52648726216694</c:v>
                </c:pt>
                <c:pt idx="6">
                  <c:v>588.84004848630764</c:v>
                </c:pt>
                <c:pt idx="7">
                  <c:v>586.54175128826967</c:v>
                </c:pt>
                <c:pt idx="8">
                  <c:v>445.94673024873606</c:v>
                </c:pt>
                <c:pt idx="9">
                  <c:v>445.94673024873606</c:v>
                </c:pt>
                <c:pt idx="10">
                  <c:v>406.8004619120947</c:v>
                </c:pt>
                <c:pt idx="11">
                  <c:v>834.04088545427066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1.2484894400348823</c:v>
                </c:pt>
                <c:pt idx="1">
                  <c:v>1.2484894400348823</c:v>
                </c:pt>
                <c:pt idx="2">
                  <c:v>1.5411024500522326</c:v>
                </c:pt>
                <c:pt idx="3">
                  <c:v>1.4347839931814408</c:v>
                </c:pt>
                <c:pt idx="4">
                  <c:v>0.87593173543978953</c:v>
                </c:pt>
                <c:pt idx="5">
                  <c:v>0.87593173543978953</c:v>
                </c:pt>
                <c:pt idx="6">
                  <c:v>1.1052951824595512</c:v>
                </c:pt>
                <c:pt idx="7">
                  <c:v>1.11408359041301</c:v>
                </c:pt>
                <c:pt idx="8">
                  <c:v>1.4226194092175497</c:v>
                </c:pt>
                <c:pt idx="9">
                  <c:v>1.4226194092175497</c:v>
                </c:pt>
                <c:pt idx="10">
                  <c:v>-0.90546677019226829</c:v>
                </c:pt>
                <c:pt idx="11">
                  <c:v>-7.2870269582598963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278.15488441013269</c:v>
                </c:pt>
                <c:pt idx="1">
                  <c:v>278.15488441013269</c:v>
                </c:pt>
                <c:pt idx="2">
                  <c:v>306.57422961802149</c:v>
                </c:pt>
                <c:pt idx="3">
                  <c:v>315.6219385502859</c:v>
                </c:pt>
                <c:pt idx="4">
                  <c:v>306.01863602348368</c:v>
                </c:pt>
                <c:pt idx="5">
                  <c:v>306.01863602348368</c:v>
                </c:pt>
                <c:pt idx="6">
                  <c:v>338.03382443662719</c:v>
                </c:pt>
                <c:pt idx="7">
                  <c:v>338.03382443662719</c:v>
                </c:pt>
                <c:pt idx="8">
                  <c:v>248.12748545234274</c:v>
                </c:pt>
                <c:pt idx="9">
                  <c:v>248.12748545234274</c:v>
                </c:pt>
                <c:pt idx="10">
                  <c:v>248.12748545234277</c:v>
                </c:pt>
                <c:pt idx="11">
                  <c:v>248.1274854523428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82.718698010625403</c:v>
                </c:pt>
                <c:pt idx="1">
                  <c:v>82.718698010625403</c:v>
                </c:pt>
                <c:pt idx="2">
                  <c:v>82.718698010625445</c:v>
                </c:pt>
                <c:pt idx="3">
                  <c:v>81.418445234679751</c:v>
                </c:pt>
                <c:pt idx="4">
                  <c:v>76.930878417473053</c:v>
                </c:pt>
                <c:pt idx="5">
                  <c:v>76.930878417473053</c:v>
                </c:pt>
                <c:pt idx="6">
                  <c:v>76.930878417473068</c:v>
                </c:pt>
                <c:pt idx="7">
                  <c:v>76.930878417473053</c:v>
                </c:pt>
                <c:pt idx="8">
                  <c:v>82.718698010625403</c:v>
                </c:pt>
                <c:pt idx="9">
                  <c:v>82.718698010625403</c:v>
                </c:pt>
                <c:pt idx="10">
                  <c:v>82.718698010625445</c:v>
                </c:pt>
                <c:pt idx="11">
                  <c:v>82.718698010625431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81.431744333128037</c:v>
                </c:pt>
                <c:pt idx="1">
                  <c:v>81.431744333128037</c:v>
                </c:pt>
                <c:pt idx="2">
                  <c:v>93.273138169748336</c:v>
                </c:pt>
                <c:pt idx="3">
                  <c:v>97.58478888150259</c:v>
                </c:pt>
                <c:pt idx="4">
                  <c:v>95.453232335837782</c:v>
                </c:pt>
                <c:pt idx="5">
                  <c:v>95.453232335837782</c:v>
                </c:pt>
                <c:pt idx="6">
                  <c:v>108.79289417464756</c:v>
                </c:pt>
                <c:pt idx="7">
                  <c:v>108.79289417464757</c:v>
                </c:pt>
                <c:pt idx="8">
                  <c:v>68.920328100715565</c:v>
                </c:pt>
                <c:pt idx="9">
                  <c:v>68.920328100715565</c:v>
                </c:pt>
                <c:pt idx="10">
                  <c:v>68.920328100715565</c:v>
                </c:pt>
                <c:pt idx="11">
                  <c:v>68.920328100715594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114.00444206637926</c:v>
                </c:pt>
                <c:pt idx="1">
                  <c:v>114.00444206637926</c:v>
                </c:pt>
                <c:pt idx="2">
                  <c:v>130.58239343764771</c:v>
                </c:pt>
                <c:pt idx="3">
                  <c:v>136.61870443410362</c:v>
                </c:pt>
                <c:pt idx="4">
                  <c:v>133.63452527017284</c:v>
                </c:pt>
                <c:pt idx="5">
                  <c:v>133.63452527017284</c:v>
                </c:pt>
                <c:pt idx="6">
                  <c:v>152.31005184450655</c:v>
                </c:pt>
                <c:pt idx="7">
                  <c:v>152.31005184450657</c:v>
                </c:pt>
                <c:pt idx="8">
                  <c:v>96.488459341001786</c:v>
                </c:pt>
                <c:pt idx="9">
                  <c:v>96.488459341001786</c:v>
                </c:pt>
                <c:pt idx="10">
                  <c:v>96.488459341001786</c:v>
                </c:pt>
                <c:pt idx="11">
                  <c:v>96.4884593410018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148.84093285083557</c:v>
                </c:pt>
                <c:pt idx="1">
                  <c:v>148.84093285083557</c:v>
                </c:pt>
                <c:pt idx="2">
                  <c:v>152.09757313815578</c:v>
                </c:pt>
                <c:pt idx="3">
                  <c:v>149.00703807677812</c:v>
                </c:pt>
                <c:pt idx="4">
                  <c:v>142.86778337818538</c:v>
                </c:pt>
                <c:pt idx="5">
                  <c:v>142.86778337818538</c:v>
                </c:pt>
                <c:pt idx="6">
                  <c:v>135.24761835052416</c:v>
                </c:pt>
                <c:pt idx="7">
                  <c:v>133.7201178788919</c:v>
                </c:pt>
                <c:pt idx="8">
                  <c:v>116.22424479639334</c:v>
                </c:pt>
                <c:pt idx="9">
                  <c:v>116.22424479639334</c:v>
                </c:pt>
                <c:pt idx="10">
                  <c:v>70.581975631184974</c:v>
                </c:pt>
                <c:pt idx="11">
                  <c:v>145.49788109213196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51.669403464756378</c:v>
                </c:pt>
                <c:pt idx="1">
                  <c:v>51.669403464756378</c:v>
                </c:pt>
                <c:pt idx="2">
                  <c:v>52.812084267324863</c:v>
                </c:pt>
                <c:pt idx="3">
                  <c:v>51.736417656522981</c:v>
                </c:pt>
                <c:pt idx="4">
                  <c:v>49.612428796056157</c:v>
                </c:pt>
                <c:pt idx="5">
                  <c:v>49.612428796056157</c:v>
                </c:pt>
                <c:pt idx="6">
                  <c:v>46.938686681087304</c:v>
                </c:pt>
                <c:pt idx="7">
                  <c:v>46.402721603321609</c:v>
                </c:pt>
                <c:pt idx="8">
                  <c:v>40.224951515829275</c:v>
                </c:pt>
                <c:pt idx="9">
                  <c:v>40.224951515829275</c:v>
                </c:pt>
                <c:pt idx="10">
                  <c:v>24.210120229791247</c:v>
                </c:pt>
                <c:pt idx="11">
                  <c:v>50.49640284766739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1.583132976279912</c:v>
                </c:pt>
                <c:pt idx="1">
                  <c:v>1.583132976279912</c:v>
                </c:pt>
                <c:pt idx="2">
                  <c:v>1.5831329762799125</c:v>
                </c:pt>
                <c:pt idx="3">
                  <c:v>1.5582477556876504</c:v>
                </c:pt>
                <c:pt idx="4">
                  <c:v>1.4723613094253218</c:v>
                </c:pt>
                <c:pt idx="5">
                  <c:v>1.4723613094253218</c:v>
                </c:pt>
                <c:pt idx="6">
                  <c:v>1.4723613094253221</c:v>
                </c:pt>
                <c:pt idx="7">
                  <c:v>1.4723613094253216</c:v>
                </c:pt>
                <c:pt idx="8">
                  <c:v>1.583132976279912</c:v>
                </c:pt>
                <c:pt idx="9">
                  <c:v>1.583132976279912</c:v>
                </c:pt>
                <c:pt idx="10">
                  <c:v>1.5831329762799125</c:v>
                </c:pt>
                <c:pt idx="11">
                  <c:v>1.5831329762799122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95.588396409799287</c:v>
                </c:pt>
                <c:pt idx="1">
                  <c:v>95.588396409799287</c:v>
                </c:pt>
                <c:pt idx="2">
                  <c:v>97.70235589455099</c:v>
                </c:pt>
                <c:pt idx="3">
                  <c:v>95.712372664567511</c:v>
                </c:pt>
                <c:pt idx="4">
                  <c:v>91.782993272703891</c:v>
                </c:pt>
                <c:pt idx="5">
                  <c:v>91.782993272703891</c:v>
                </c:pt>
                <c:pt idx="6">
                  <c:v>86.836570360011521</c:v>
                </c:pt>
                <c:pt idx="7">
                  <c:v>85.845034966144979</c:v>
                </c:pt>
                <c:pt idx="8">
                  <c:v>74.416160304284162</c:v>
                </c:pt>
                <c:pt idx="9">
                  <c:v>74.416160304284162</c:v>
                </c:pt>
                <c:pt idx="10">
                  <c:v>44.788722425113811</c:v>
                </c:pt>
                <c:pt idx="11">
                  <c:v>93.41834526818468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25.739401664939734</c:v>
                </c:pt>
                <c:pt idx="1">
                  <c:v>25.739401664939734</c:v>
                </c:pt>
                <c:pt idx="2">
                  <c:v>25.739401664939738</c:v>
                </c:pt>
                <c:pt idx="3">
                  <c:v>25.739401664939734</c:v>
                </c:pt>
                <c:pt idx="4">
                  <c:v>25.739401664939734</c:v>
                </c:pt>
                <c:pt idx="5">
                  <c:v>25.739401664939734</c:v>
                </c:pt>
                <c:pt idx="6">
                  <c:v>25.739401664939738</c:v>
                </c:pt>
                <c:pt idx="7">
                  <c:v>25.739401664939734</c:v>
                </c:pt>
                <c:pt idx="8">
                  <c:v>25.739401664939734</c:v>
                </c:pt>
                <c:pt idx="9">
                  <c:v>25.739401664939734</c:v>
                </c:pt>
                <c:pt idx="10">
                  <c:v>25.739401664939738</c:v>
                </c:pt>
                <c:pt idx="11">
                  <c:v>25.739401664939734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123.00035822944253</c:v>
                </c:pt>
                <c:pt idx="1">
                  <c:v>123.00035822944253</c:v>
                </c:pt>
                <c:pt idx="2">
                  <c:v>123.00035822944251</c:v>
                </c:pt>
                <c:pt idx="3">
                  <c:v>118.16141835534711</c:v>
                </c:pt>
                <c:pt idx="4">
                  <c:v>101.46076875000001</c:v>
                </c:pt>
                <c:pt idx="5">
                  <c:v>101.46076875000001</c:v>
                </c:pt>
                <c:pt idx="6">
                  <c:v>101.46076874999999</c:v>
                </c:pt>
                <c:pt idx="7">
                  <c:v>101.46076875000001</c:v>
                </c:pt>
                <c:pt idx="8">
                  <c:v>123.00035822944253</c:v>
                </c:pt>
                <c:pt idx="9">
                  <c:v>123.00035822944253</c:v>
                </c:pt>
                <c:pt idx="10">
                  <c:v>123.00035822944251</c:v>
                </c:pt>
                <c:pt idx="11">
                  <c:v>123.00035822944251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7.5706332448015852E-16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17.449196390210563</c:v>
                </c:pt>
                <c:pt idx="5">
                  <c:v>17.449196390210563</c:v>
                </c:pt>
                <c:pt idx="6">
                  <c:v>-54.529677379578793</c:v>
                </c:pt>
                <c:pt idx="7">
                  <c:v>-54.529677379578835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19.357465049999998</c:v>
                </c:pt>
                <c:pt idx="5">
                  <c:v>19.357465049999998</c:v>
                </c:pt>
                <c:pt idx="6">
                  <c:v>19.357465050000005</c:v>
                </c:pt>
                <c:pt idx="7">
                  <c:v>19.357465049999998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25.739401664939734</c:v>
                </c:pt>
                <c:pt idx="1">
                  <c:v>25.739401664939734</c:v>
                </c:pt>
                <c:pt idx="2">
                  <c:v>25.739401664939738</c:v>
                </c:pt>
                <c:pt idx="3">
                  <c:v>25.739401664939734</c:v>
                </c:pt>
                <c:pt idx="4">
                  <c:v>25.739401664939734</c:v>
                </c:pt>
                <c:pt idx="5">
                  <c:v>25.739401664939734</c:v>
                </c:pt>
                <c:pt idx="6">
                  <c:v>25.739401664939738</c:v>
                </c:pt>
                <c:pt idx="7">
                  <c:v>25.739401664939734</c:v>
                </c:pt>
                <c:pt idx="8">
                  <c:v>25.739401664939734</c:v>
                </c:pt>
                <c:pt idx="9">
                  <c:v>25.739401664939734</c:v>
                </c:pt>
                <c:pt idx="10">
                  <c:v>25.739401664939738</c:v>
                </c:pt>
                <c:pt idx="11">
                  <c:v>25.739401664939734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2.1917163902081285</c:v>
                </c:pt>
                <c:pt idx="1">
                  <c:v>2.1917163902081285</c:v>
                </c:pt>
                <c:pt idx="2">
                  <c:v>2.1917163902081289</c:v>
                </c:pt>
                <c:pt idx="3">
                  <c:v>2.1604897819180908</c:v>
                </c:pt>
                <c:pt idx="4">
                  <c:v>2.0527172827789437</c:v>
                </c:pt>
                <c:pt idx="5">
                  <c:v>2.0527172827789437</c:v>
                </c:pt>
                <c:pt idx="6">
                  <c:v>2.0527172827789446</c:v>
                </c:pt>
                <c:pt idx="7">
                  <c:v>2.4433747771416128</c:v>
                </c:pt>
                <c:pt idx="8">
                  <c:v>2.1917163902081285</c:v>
                </c:pt>
                <c:pt idx="9">
                  <c:v>2.1917163902081285</c:v>
                </c:pt>
                <c:pt idx="10">
                  <c:v>2.1917163902081289</c:v>
                </c:pt>
                <c:pt idx="11">
                  <c:v>2.191716390208128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0.96632838183475123</c:v>
                </c:pt>
                <c:pt idx="4">
                  <c:v>4.3014208046851543</c:v>
                </c:pt>
                <c:pt idx="5">
                  <c:v>4.3014208046851543</c:v>
                </c:pt>
                <c:pt idx="6">
                  <c:v>4.3014208046851552</c:v>
                </c:pt>
                <c:pt idx="7">
                  <c:v>4.3014208046851543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1.0382373792685522</c:v>
                </c:pt>
                <c:pt idx="4">
                  <c:v>4.6215095689399295</c:v>
                </c:pt>
                <c:pt idx="5">
                  <c:v>4.6215095689399295</c:v>
                </c:pt>
                <c:pt idx="6">
                  <c:v>4.6215095689399313</c:v>
                </c:pt>
                <c:pt idx="7">
                  <c:v>4.6215095689399295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16320.554457048042</c:v>
                </c:pt>
                <c:pt idx="1">
                  <c:v>16320.554457048042</c:v>
                </c:pt>
                <c:pt idx="2">
                  <c:v>16320.55445704804</c:v>
                </c:pt>
                <c:pt idx="3">
                  <c:v>12654.088027642387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16320.554457048042</c:v>
                </c:pt>
                <c:pt idx="9">
                  <c:v>16320.554457048042</c:v>
                </c:pt>
                <c:pt idx="10">
                  <c:v>16320.55445704804</c:v>
                </c:pt>
                <c:pt idx="11">
                  <c:v>16320.554457048042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702.19425838988673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781.41992120573866</c:v>
                </c:pt>
                <c:pt idx="5">
                  <c:v>781.41992120573866</c:v>
                </c:pt>
                <c:pt idx="6">
                  <c:v>781.419921205739</c:v>
                </c:pt>
                <c:pt idx="7">
                  <c:v>781.41992120573877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8.4518747298132286</c:v>
                </c:pt>
                <c:pt idx="1">
                  <c:v>8.4518747298132286</c:v>
                </c:pt>
                <c:pt idx="2">
                  <c:v>4.5768750929060884</c:v>
                </c:pt>
                <c:pt idx="3">
                  <c:v>5.2696671642433461</c:v>
                </c:pt>
                <c:pt idx="4">
                  <c:v>-11.927837405433962</c:v>
                </c:pt>
                <c:pt idx="5">
                  <c:v>-11.927837405433962</c:v>
                </c:pt>
                <c:pt idx="6">
                  <c:v>-9.0136040699458277</c:v>
                </c:pt>
                <c:pt idx="7">
                  <c:v>-9.3885973300270198</c:v>
                </c:pt>
                <c:pt idx="8">
                  <c:v>10.009211653494059</c:v>
                </c:pt>
                <c:pt idx="9">
                  <c:v>10.009211653494059</c:v>
                </c:pt>
                <c:pt idx="10">
                  <c:v>6.1143131436300475</c:v>
                </c:pt>
                <c:pt idx="11">
                  <c:v>5.9297024166926819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23.561329403778998</c:v>
                </c:pt>
                <c:pt idx="5">
                  <c:v>23.561329403778998</c:v>
                </c:pt>
                <c:pt idx="6">
                  <c:v>47.122658807557997</c:v>
                </c:pt>
                <c:pt idx="7">
                  <c:v>47.122658807557997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50.867774163228184</c:v>
                </c:pt>
                <c:pt idx="5">
                  <c:v>50.867774163228184</c:v>
                </c:pt>
                <c:pt idx="6">
                  <c:v>101.73554832645632</c:v>
                </c:pt>
                <c:pt idx="7">
                  <c:v>101.73554832645634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340.50744744695282</c:v>
                </c:pt>
                <c:pt idx="1">
                  <c:v>340.50744744695282</c:v>
                </c:pt>
                <c:pt idx="2">
                  <c:v>348.00422652035303</c:v>
                </c:pt>
                <c:pt idx="3">
                  <c:v>281.50411966012746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398.90296845206899</c:v>
                </c:pt>
                <c:pt idx="9">
                  <c:v>398.90296845206899</c:v>
                </c:pt>
                <c:pt idx="10">
                  <c:v>638.45021573829979</c:v>
                </c:pt>
                <c:pt idx="11">
                  <c:v>563.4841557949461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0.76654054057856247</c:v>
                </c:pt>
                <c:pt idx="1">
                  <c:v>0.76654054057856247</c:v>
                </c:pt>
                <c:pt idx="2">
                  <c:v>0.77736783834817114</c:v>
                </c:pt>
                <c:pt idx="3">
                  <c:v>0.71818988183429067</c:v>
                </c:pt>
                <c:pt idx="4">
                  <c:v>0.66878087443027379</c:v>
                </c:pt>
                <c:pt idx="5">
                  <c:v>0.66878087443027379</c:v>
                </c:pt>
                <c:pt idx="6">
                  <c:v>0.69401351233162234</c:v>
                </c:pt>
                <c:pt idx="7">
                  <c:v>0.69185800860864466</c:v>
                </c:pt>
                <c:pt idx="8">
                  <c:v>0.86173424565908274</c:v>
                </c:pt>
                <c:pt idx="9">
                  <c:v>0.86173424565908274</c:v>
                </c:pt>
                <c:pt idx="10">
                  <c:v>1.254527414916605</c:v>
                </c:pt>
                <c:pt idx="11">
                  <c:v>1.1318161748839681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M1A4SA2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599.92898289729408</c:v>
                </c:pt>
                <c:pt idx="1">
                  <c:v>1817.3860635667897</c:v>
                </c:pt>
                <c:pt idx="2">
                  <c:v>672.4716119291304</c:v>
                </c:pt>
                <c:pt idx="3">
                  <c:v>608.02605049950841</c:v>
                </c:pt>
                <c:pt idx="4">
                  <c:v>670.68385852861354</c:v>
                </c:pt>
                <c:pt idx="5">
                  <c:v>871.92591596986892</c:v>
                </c:pt>
                <c:pt idx="6">
                  <c:v>5860.7560358969276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742.18908559445322</c:v>
                </c:pt>
                <c:pt idx="1">
                  <c:v>742.18908559445322</c:v>
                </c:pt>
                <c:pt idx="2">
                  <c:v>742.18908559445322</c:v>
                </c:pt>
                <c:pt idx="3">
                  <c:v>708.69315083995423</c:v>
                </c:pt>
                <c:pt idx="4">
                  <c:v>772.14462727861337</c:v>
                </c:pt>
                <c:pt idx="5">
                  <c:v>1060.5399987686546</c:v>
                </c:pt>
                <c:pt idx="6">
                  <c:v>1859.6446391629077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558.97242188433177</c:v>
                </c:pt>
                <c:pt idx="1">
                  <c:v>721.91935396991175</c:v>
                </c:pt>
                <c:pt idx="2">
                  <c:v>564.87537656735401</c:v>
                </c:pt>
                <c:pt idx="3">
                  <c:v>561.30342111886148</c:v>
                </c:pt>
                <c:pt idx="4">
                  <c:v>533.55879127539947</c:v>
                </c:pt>
                <c:pt idx="5">
                  <c:v>611.8513161710855</c:v>
                </c:pt>
                <c:pt idx="6">
                  <c:v>2979.9210436291996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88496998885002143"/>
          <c:h val="4.83531860059183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Bridges'!$O$4:$R$4</c:f>
              <c:numCache>
                <c:formatCode>General</c:formatCode>
                <c:ptCount val="4"/>
                <c:pt idx="0">
                  <c:v>0</c:v>
                </c:pt>
                <c:pt idx="1">
                  <c:v>158</c:v>
                </c:pt>
                <c:pt idx="2">
                  <c:v>436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Bridges'!$O$3:$R$3</c:f>
              <c:numCache>
                <c:formatCode>General</c:formatCode>
                <c:ptCount val="4"/>
                <c:pt idx="0">
                  <c:v>158</c:v>
                </c:pt>
                <c:pt idx="1">
                  <c:v>278</c:v>
                </c:pt>
                <c:pt idx="2">
                  <c:v>149</c:v>
                </c:pt>
                <c:pt idx="3">
                  <c:v>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208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Bridges'!$T$3:$W$3</c:f>
              <c:numCache>
                <c:formatCode>General</c:formatCode>
                <c:ptCount val="4"/>
                <c:pt idx="0">
                  <c:v>200</c:v>
                </c:pt>
                <c:pt idx="1">
                  <c:v>8</c:v>
                </c:pt>
                <c:pt idx="2">
                  <c:v>341</c:v>
                </c:pt>
                <c:pt idx="3">
                  <c:v>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Bridges'!$E$6:$L$6</c:f>
              <c:numCache>
                <c:formatCode>General</c:formatCode>
                <c:ptCount val="8"/>
                <c:pt idx="0">
                  <c:v>0</c:v>
                </c:pt>
                <c:pt idx="1">
                  <c:v>616</c:v>
                </c:pt>
                <c:pt idx="2">
                  <c:v>0</c:v>
                </c:pt>
                <c:pt idx="3">
                  <c:v>1257</c:v>
                </c:pt>
                <c:pt idx="4">
                  <c:v>916</c:v>
                </c:pt>
                <c:pt idx="5">
                  <c:v>916</c:v>
                </c:pt>
                <c:pt idx="6">
                  <c:v>793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C02-4BA6-A4E9-88EF202232D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Bridges'!$E$5:$L$5</c:f>
              <c:numCache>
                <c:formatCode>General</c:formatCode>
                <c:ptCount val="8"/>
                <c:pt idx="0">
                  <c:v>616</c:v>
                </c:pt>
                <c:pt idx="1">
                  <c:v>649</c:v>
                </c:pt>
                <c:pt idx="2">
                  <c:v>1265</c:v>
                </c:pt>
                <c:pt idx="3">
                  <c:v>8</c:v>
                </c:pt>
                <c:pt idx="4">
                  <c:v>341</c:v>
                </c:pt>
                <c:pt idx="5">
                  <c:v>0</c:v>
                </c:pt>
                <c:pt idx="6">
                  <c:v>123</c:v>
                </c:pt>
                <c:pt idx="7">
                  <c:v>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Bridges'!$E$8:$L$8</c:f>
              <c:numCache>
                <c:formatCode>General</c:formatCode>
                <c:ptCount val="8"/>
                <c:pt idx="0">
                  <c:v>0</c:v>
                </c:pt>
                <c:pt idx="1">
                  <c:v>612</c:v>
                </c:pt>
                <c:pt idx="2">
                  <c:v>0</c:v>
                </c:pt>
                <c:pt idx="3">
                  <c:v>1154</c:v>
                </c:pt>
                <c:pt idx="4">
                  <c:v>806</c:v>
                </c:pt>
                <c:pt idx="5">
                  <c:v>806</c:v>
                </c:pt>
                <c:pt idx="6">
                  <c:v>683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1-4FBF-BDEA-74EDF083CAB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Bridges'!$E$7:$L$7</c:f>
              <c:numCache>
                <c:formatCode>General</c:formatCode>
                <c:ptCount val="8"/>
                <c:pt idx="0">
                  <c:v>612</c:v>
                </c:pt>
                <c:pt idx="1">
                  <c:v>547</c:v>
                </c:pt>
                <c:pt idx="2">
                  <c:v>1159</c:v>
                </c:pt>
                <c:pt idx="3">
                  <c:v>5</c:v>
                </c:pt>
                <c:pt idx="4">
                  <c:v>348</c:v>
                </c:pt>
                <c:pt idx="5">
                  <c:v>0</c:v>
                </c:pt>
                <c:pt idx="6">
                  <c:v>123</c:v>
                </c:pt>
                <c:pt idx="7">
                  <c:v>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541</c:v>
                </c:pt>
                <c:pt idx="2">
                  <c:v>0</c:v>
                </c:pt>
                <c:pt idx="3">
                  <c:v>1071</c:v>
                </c:pt>
                <c:pt idx="4">
                  <c:v>789</c:v>
                </c:pt>
                <c:pt idx="5">
                  <c:v>789</c:v>
                </c:pt>
                <c:pt idx="6">
                  <c:v>671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384-4C80-AB4A-87025EAF0E2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541</c:v>
                </c:pt>
                <c:pt idx="1">
                  <c:v>535</c:v>
                </c:pt>
                <c:pt idx="2">
                  <c:v>1076</c:v>
                </c:pt>
                <c:pt idx="3">
                  <c:v>5</c:v>
                </c:pt>
                <c:pt idx="4">
                  <c:v>282</c:v>
                </c:pt>
                <c:pt idx="5">
                  <c:v>0</c:v>
                </c:pt>
                <c:pt idx="6">
                  <c:v>118</c:v>
                </c:pt>
                <c:pt idx="7">
                  <c:v>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Bridges'!$N$5</c:f>
          <c:strCache>
            <c:ptCount val="1"/>
            <c:pt idx="0">
              <c:v>Ganhos Indiretos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Bridges'!$O$6:$R$6</c:f>
              <c:numCache>
                <c:formatCode>General</c:formatCode>
                <c:ptCount val="4"/>
                <c:pt idx="0">
                  <c:v>0</c:v>
                </c:pt>
                <c:pt idx="1">
                  <c:v>158</c:v>
                </c:pt>
                <c:pt idx="2">
                  <c:v>436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Bridges'!$O$5:$R$5</c:f>
              <c:numCache>
                <c:formatCode>General</c:formatCode>
                <c:ptCount val="4"/>
                <c:pt idx="0">
                  <c:v>158</c:v>
                </c:pt>
                <c:pt idx="1">
                  <c:v>278</c:v>
                </c:pt>
                <c:pt idx="2">
                  <c:v>149</c:v>
                </c:pt>
                <c:pt idx="3">
                  <c:v>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Bridges'!$N$7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Bridges'!$O$8:$R$8</c:f>
              <c:numCache>
                <c:formatCode>General</c:formatCode>
                <c:ptCount val="4"/>
                <c:pt idx="0">
                  <c:v>0</c:v>
                </c:pt>
                <c:pt idx="1">
                  <c:v>166</c:v>
                </c:pt>
                <c:pt idx="2">
                  <c:v>473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Bridges'!$O$7:$R$7</c:f>
              <c:numCache>
                <c:formatCode>General</c:formatCode>
                <c:ptCount val="4"/>
                <c:pt idx="0">
                  <c:v>166</c:v>
                </c:pt>
                <c:pt idx="1">
                  <c:v>307</c:v>
                </c:pt>
                <c:pt idx="2">
                  <c:v>152</c:v>
                </c:pt>
                <c:pt idx="3">
                  <c:v>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Bridges'!$N$9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Bridges'!$O$10:$R$10</c:f>
              <c:numCache>
                <c:formatCode>General</c:formatCode>
                <c:ptCount val="4"/>
                <c:pt idx="0">
                  <c:v>0</c:v>
                </c:pt>
                <c:pt idx="1">
                  <c:v>155</c:v>
                </c:pt>
                <c:pt idx="2">
                  <c:v>471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Bridges'!$O$9:$R$9</c:f>
              <c:numCache>
                <c:formatCode>General</c:formatCode>
                <c:ptCount val="4"/>
                <c:pt idx="0">
                  <c:v>155</c:v>
                </c:pt>
                <c:pt idx="1">
                  <c:v>316</c:v>
                </c:pt>
                <c:pt idx="2">
                  <c:v>149</c:v>
                </c:pt>
                <c:pt idx="3">
                  <c:v>620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Bridges'!$S$5</c:f>
          <c:strCache>
            <c:ptCount val="1"/>
            <c:pt idx="0">
              <c:v>Desoneração Gestão Pública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208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Bridges'!$T$5:$W$5</c:f>
              <c:numCache>
                <c:formatCode>General</c:formatCode>
                <c:ptCount val="4"/>
                <c:pt idx="0">
                  <c:v>200</c:v>
                </c:pt>
                <c:pt idx="1">
                  <c:v>8</c:v>
                </c:pt>
                <c:pt idx="2">
                  <c:v>341</c:v>
                </c:pt>
                <c:pt idx="3">
                  <c:v>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Bridges'!$S$7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Bridges'!$T$8:$W$8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205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Bridges'!$T$7:$W$7</c:f>
              <c:numCache>
                <c:formatCode>General</c:formatCode>
                <c:ptCount val="4"/>
                <c:pt idx="0">
                  <c:v>200</c:v>
                </c:pt>
                <c:pt idx="1">
                  <c:v>5</c:v>
                </c:pt>
                <c:pt idx="2">
                  <c:v>348</c:v>
                </c:pt>
                <c:pt idx="3">
                  <c:v>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Bridges'!$S$9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Bridges'!$T$10:$W$10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205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Bridges'!$T$9:$W$9</c:f>
              <c:numCache>
                <c:formatCode>General</c:formatCode>
                <c:ptCount val="4"/>
                <c:pt idx="0">
                  <c:v>200</c:v>
                </c:pt>
                <c:pt idx="1">
                  <c:v>5</c:v>
                </c:pt>
                <c:pt idx="2">
                  <c:v>282</c:v>
                </c:pt>
                <c:pt idx="3">
                  <c:v>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Bridges'!$E$4:$L$4</c:f>
              <c:numCache>
                <c:formatCode>General</c:formatCode>
                <c:ptCount val="8"/>
                <c:pt idx="0">
                  <c:v>0</c:v>
                </c:pt>
                <c:pt idx="1">
                  <c:v>616</c:v>
                </c:pt>
                <c:pt idx="2">
                  <c:v>0</c:v>
                </c:pt>
                <c:pt idx="3">
                  <c:v>1257</c:v>
                </c:pt>
                <c:pt idx="4">
                  <c:v>916</c:v>
                </c:pt>
                <c:pt idx="5">
                  <c:v>916</c:v>
                </c:pt>
                <c:pt idx="6">
                  <c:v>793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Bridges'!$E$3:$L$3</c:f>
              <c:numCache>
                <c:formatCode>General</c:formatCode>
                <c:ptCount val="8"/>
                <c:pt idx="0">
                  <c:v>616</c:v>
                </c:pt>
                <c:pt idx="1">
                  <c:v>649</c:v>
                </c:pt>
                <c:pt idx="2">
                  <c:v>1265</c:v>
                </c:pt>
                <c:pt idx="3">
                  <c:v>8</c:v>
                </c:pt>
                <c:pt idx="4">
                  <c:v>341</c:v>
                </c:pt>
                <c:pt idx="5">
                  <c:v>0</c:v>
                </c:pt>
                <c:pt idx="6">
                  <c:v>123</c:v>
                </c:pt>
                <c:pt idx="7">
                  <c:v>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371475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19</xdr:row>
      <xdr:rowOff>104775</xdr:rowOff>
    </xdr:from>
    <xdr:to>
      <xdr:col>12</xdr:col>
      <xdr:colOff>380999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25" y="3724275"/>
          <a:ext cx="7981949" cy="4667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467719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253282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860501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074938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682157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289376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29896594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503813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39</xdr:col>
      <xdr:colOff>416723</xdr:colOff>
      <xdr:row>57</xdr:row>
      <xdr:rowOff>154793</xdr:rowOff>
    </xdr:from>
    <xdr:to>
      <xdr:col>60</xdr:col>
      <xdr:colOff>416722</xdr:colOff>
      <xdr:row>82</xdr:row>
      <xdr:rowOff>154792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146750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29932312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539531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753969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176894</xdr:rowOff>
    </xdr:from>
    <xdr:to>
      <xdr:col>11</xdr:col>
      <xdr:colOff>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13608</xdr:rowOff>
    </xdr:from>
    <xdr:to>
      <xdr:col>11</xdr:col>
      <xdr:colOff>1</xdr:colOff>
      <xdr:row>8</xdr:row>
      <xdr:rowOff>13607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152401</xdr:colOff>
      <xdr:row>1</xdr:row>
      <xdr:rowOff>54121</xdr:rowOff>
    </xdr:from>
    <xdr:to>
      <xdr:col>2</xdr:col>
      <xdr:colOff>495301</xdr:colOff>
      <xdr:row>3</xdr:row>
      <xdr:rowOff>188091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1" y="244621"/>
          <a:ext cx="1562100" cy="56259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P182"/>
  <sheetViews>
    <sheetView tabSelected="1" zoomScaleNormal="100" workbookViewId="0"/>
  </sheetViews>
  <sheetFormatPr defaultColWidth="0" defaultRowHeight="15" zeroHeight="1" x14ac:dyDescent="0.25"/>
  <cols>
    <col min="1" max="1" width="5.7109375" style="44" customWidth="1"/>
    <col min="2" max="12" width="9.85546875" style="44" customWidth="1"/>
    <col min="13" max="13" width="5.7109375" style="44" customWidth="1"/>
    <col min="14" max="16384" width="9.140625" style="44" hidden="1"/>
  </cols>
  <sheetData>
    <row r="1" spans="1:16" ht="15" customHeight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">
      <c r="A2" s="46"/>
      <c r="B2" s="49"/>
      <c r="C2" s="49"/>
      <c r="D2" s="49"/>
      <c r="E2" s="113" t="s">
        <v>10460</v>
      </c>
      <c r="F2" s="113"/>
      <c r="G2" s="113"/>
      <c r="H2" s="113"/>
      <c r="I2" s="113"/>
      <c r="J2" s="113"/>
      <c r="K2" s="113"/>
      <c r="L2" s="113"/>
      <c r="M2" s="46"/>
    </row>
    <row r="3" spans="1:16" ht="15" customHeight="1" x14ac:dyDescent="0.6">
      <c r="A3" s="46"/>
      <c r="B3" s="49"/>
      <c r="C3" s="49"/>
      <c r="D3" s="49"/>
      <c r="E3" s="113"/>
      <c r="F3" s="113"/>
      <c r="G3" s="113"/>
      <c r="H3" s="113"/>
      <c r="I3" s="113"/>
      <c r="J3" s="113"/>
      <c r="K3" s="113"/>
      <c r="L3" s="113"/>
      <c r="M3" s="48"/>
      <c r="N3" s="47"/>
      <c r="O3" s="47"/>
      <c r="P3" s="47"/>
    </row>
    <row r="4" spans="1:16" ht="15" customHeight="1" x14ac:dyDescent="0.6">
      <c r="A4" s="46"/>
      <c r="B4" s="49"/>
      <c r="C4" s="49"/>
      <c r="D4" s="49"/>
      <c r="E4" s="114" t="s">
        <v>10461</v>
      </c>
      <c r="F4" s="114"/>
      <c r="G4" s="114"/>
      <c r="H4" s="114"/>
      <c r="I4" s="114"/>
      <c r="J4" s="114"/>
      <c r="K4" s="114"/>
      <c r="L4" s="114"/>
      <c r="M4" s="48"/>
      <c r="N4" s="47"/>
      <c r="O4" s="47"/>
      <c r="P4" s="47"/>
    </row>
    <row r="5" spans="1:16" ht="15" customHeight="1" x14ac:dyDescent="0.4">
      <c r="A5" s="46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6"/>
    </row>
    <row r="6" spans="1:16" ht="15" customHeight="1" x14ac:dyDescent="0.25">
      <c r="A6" s="46"/>
      <c r="B6" s="116" t="s">
        <v>10546</v>
      </c>
      <c r="C6" s="116"/>
      <c r="D6" s="116"/>
      <c r="E6" s="73"/>
      <c r="F6" s="73"/>
      <c r="G6" s="73"/>
      <c r="H6" s="115" t="s">
        <v>10761</v>
      </c>
      <c r="I6" s="115"/>
      <c r="J6" s="115"/>
      <c r="K6" s="115"/>
      <c r="L6" s="115"/>
      <c r="M6" s="46"/>
    </row>
    <row r="7" spans="1:16" ht="15" customHeight="1" x14ac:dyDescent="0.4"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</row>
    <row r="8" spans="1:16" ht="15" customHeight="1" x14ac:dyDescent="0.4"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</row>
    <row r="9" spans="1:16" ht="15" customHeight="1" x14ac:dyDescent="0.4"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</row>
    <row r="10" spans="1:16" ht="15" customHeight="1" x14ac:dyDescent="0.4"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</row>
    <row r="11" spans="1:16" s="82" customFormat="1" ht="15" customHeight="1" x14ac:dyDescent="0.4"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</row>
    <row r="12" spans="1:16" ht="15" customHeight="1" x14ac:dyDescent="0.4"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</row>
    <row r="13" spans="1:16" ht="15" customHeight="1" x14ac:dyDescent="0.25">
      <c r="B13" s="111" t="s">
        <v>10473</v>
      </c>
      <c r="C13" s="111"/>
      <c r="D13" s="111"/>
      <c r="E13" s="111"/>
      <c r="F13" s="111"/>
      <c r="G13" s="111"/>
      <c r="H13" s="111"/>
      <c r="I13" s="111"/>
      <c r="J13" s="111"/>
      <c r="K13" s="111"/>
      <c r="L13" s="111"/>
    </row>
    <row r="14" spans="1:16" ht="15" customHeight="1" x14ac:dyDescent="0.25">
      <c r="B14" s="112" t="s">
        <v>10476</v>
      </c>
      <c r="C14" s="112"/>
      <c r="D14" s="112"/>
      <c r="E14" s="112"/>
      <c r="F14" s="112"/>
      <c r="G14" s="112"/>
      <c r="H14" s="112"/>
      <c r="I14" s="112"/>
      <c r="J14" s="112"/>
      <c r="K14" s="112"/>
      <c r="L14" s="112"/>
    </row>
    <row r="15" spans="1:16" ht="15" customHeight="1" x14ac:dyDescent="0.25">
      <c r="B15" s="112" t="s">
        <v>10474</v>
      </c>
      <c r="C15" s="112"/>
      <c r="D15" s="112"/>
      <c r="E15" s="112"/>
      <c r="F15" s="112"/>
      <c r="G15" s="112"/>
      <c r="H15" s="112"/>
      <c r="I15" s="112"/>
      <c r="J15" s="112"/>
      <c r="K15" s="112"/>
      <c r="L15" s="112"/>
    </row>
    <row r="16" spans="1:16" ht="15" customHeight="1" x14ac:dyDescent="0.25"/>
    <row r="17" spans="2:12" ht="15" customHeight="1" x14ac:dyDescent="0.25">
      <c r="B17" s="111" t="s">
        <v>10475</v>
      </c>
      <c r="C17" s="111"/>
      <c r="D17" s="111"/>
      <c r="E17" s="111"/>
      <c r="F17" s="111"/>
      <c r="G17" s="111"/>
      <c r="H17" s="111"/>
      <c r="I17" s="111"/>
      <c r="J17" s="111"/>
      <c r="K17" s="111"/>
      <c r="L17" s="111"/>
    </row>
    <row r="18" spans="2:12" ht="15" customHeight="1" x14ac:dyDescent="0.25">
      <c r="B18" s="112" t="s">
        <v>10477</v>
      </c>
      <c r="C18" s="112"/>
      <c r="D18" s="112"/>
      <c r="E18" s="112"/>
      <c r="F18" s="112"/>
      <c r="G18" s="112"/>
      <c r="H18" s="112"/>
      <c r="I18" s="112"/>
      <c r="J18" s="112"/>
      <c r="K18" s="112"/>
      <c r="L18" s="112"/>
    </row>
    <row r="19" spans="2:12" ht="15" customHeight="1" x14ac:dyDescent="0.25"/>
    <row r="20" spans="2:12" s="82" customFormat="1" ht="15" customHeight="1" x14ac:dyDescent="0.25"/>
    <row r="21" spans="2:12" ht="15" customHeight="1" x14ac:dyDescent="0.25"/>
    <row r="22" spans="2:12" ht="15" customHeight="1" x14ac:dyDescent="0.25"/>
    <row r="29" spans="2:12" s="82" customFormat="1" hidden="1" x14ac:dyDescent="0.25"/>
    <row r="46" s="82" customFormat="1" hidden="1" x14ac:dyDescent="0.25"/>
    <row r="63" s="82" customFormat="1" hidden="1" x14ac:dyDescent="0.25"/>
    <row r="80" s="82" customFormat="1" hidden="1" x14ac:dyDescent="0.25"/>
    <row r="97" s="82" customFormat="1" hidden="1" x14ac:dyDescent="0.25"/>
    <row r="114" s="82" customFormat="1" hidden="1" x14ac:dyDescent="0.25"/>
    <row r="131" s="82" customFormat="1" hidden="1" x14ac:dyDescent="0.25"/>
    <row r="148" s="82" customFormat="1" hidden="1" x14ac:dyDescent="0.25"/>
    <row r="165" s="82" customFormat="1" hidden="1" x14ac:dyDescent="0.25"/>
    <row r="182" s="82" customFormat="1" hidden="1" x14ac:dyDescent="0.25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71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5" x14ac:dyDescent="0.35"/>
  <cols>
    <col min="1" max="1" width="9.42578125" style="3" bestFit="1" customWidth="1"/>
    <col min="2" max="2" width="19.5703125" style="3" bestFit="1" customWidth="1"/>
    <col min="3" max="3" width="27" style="3" bestFit="1" customWidth="1"/>
    <col min="4" max="4" width="27" style="3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1" hidden="1" customWidth="1"/>
    <col min="10" max="10" width="104.42578125" style="1" hidden="1" customWidth="1"/>
    <col min="11" max="16384" width="9.140625" style="1" hidden="1"/>
  </cols>
  <sheetData>
    <row r="1" spans="1:9" x14ac:dyDescent="0.35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35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35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35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35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35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35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35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35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35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35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35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35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35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35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35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35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35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35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35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35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35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35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35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35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35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35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35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35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35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35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35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35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35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35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35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35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35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35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35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35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35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35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35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35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35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35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35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35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35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35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35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35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35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35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35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35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35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35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35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35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35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35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35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35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35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35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35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35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35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35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35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35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35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35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35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35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35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35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35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35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35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35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35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35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35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35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35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35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35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35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35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35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35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35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35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35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35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35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35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35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35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35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35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35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35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35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35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35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35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35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35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35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35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35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35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35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35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35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35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35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35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35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35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35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35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35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35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35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35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35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35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35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35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35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35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35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35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35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35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35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35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35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35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35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35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35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35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35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35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35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35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35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35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35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35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35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35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35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35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35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35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35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35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35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35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35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35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35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35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35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35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35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35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35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35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35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35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35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35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35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35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35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35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35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35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35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35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35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35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35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35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35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35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35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35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35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35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35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35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35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35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35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35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35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35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35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35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35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35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35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35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35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35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35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35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35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35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35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35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35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35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35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35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35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35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35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35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35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35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35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35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35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35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35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35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35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35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35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35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35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35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35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35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35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35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35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35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35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35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35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35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35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35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35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35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35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35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35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35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35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35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35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35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35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35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35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35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35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35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35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35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35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35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35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35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35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35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35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35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35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35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35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35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35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35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35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35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35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35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35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35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35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35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35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35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35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35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35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35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35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35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35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35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35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35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35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35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35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35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35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35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35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35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35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35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35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35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35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35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35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35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35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35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35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35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35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35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35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35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35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35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35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35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35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35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35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35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35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35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35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35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35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35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35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35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35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35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35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35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35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35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35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35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35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35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35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35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35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35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35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35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35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35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35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35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35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35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35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35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35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35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35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35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35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35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35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35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35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35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35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35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35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35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35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35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35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35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35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35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35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35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35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35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35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35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35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35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35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35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35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35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35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35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35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35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35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35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35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35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35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35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35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35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35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35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35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35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35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35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35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35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35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35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35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35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35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35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35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35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35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35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35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35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35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35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35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35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35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35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35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35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35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35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35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35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35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35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35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35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35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35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35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35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35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35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35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35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35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35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35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35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35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35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35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35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35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35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35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35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35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35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35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35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35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35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35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35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35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35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35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35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35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35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35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35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35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35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35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35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35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35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35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35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35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35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35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35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35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35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35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35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35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35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35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35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35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35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35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35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35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35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35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35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35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35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35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35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35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35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35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35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35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35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35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35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35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35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35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35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35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35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35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35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35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35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35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35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35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35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35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35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35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35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35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35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35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35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35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35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35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35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35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35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35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35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35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35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35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35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35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35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35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35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35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35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35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35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35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35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35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35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35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35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35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35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35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35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35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35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35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35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35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35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35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35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35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35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35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35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35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35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35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35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35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35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35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35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35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35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35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35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35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35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35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35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35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35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35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35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35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35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35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35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35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35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35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35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35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35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35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35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35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35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35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35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35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35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35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35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35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35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35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35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35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35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35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35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35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35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35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35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35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35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35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35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35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35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35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35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35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35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35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35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35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35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35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35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35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35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35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35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35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35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35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35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35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35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35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35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35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35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35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35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35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35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35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35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-26.735099999999999</v>
      </c>
      <c r="H678" s="3">
        <v>-52.390799999999999</v>
      </c>
      <c r="I678" s="8"/>
    </row>
    <row r="679" spans="1:9" x14ac:dyDescent="0.35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0</v>
      </c>
      <c r="H679" s="3">
        <v>0</v>
      </c>
      <c r="I679" s="8"/>
    </row>
    <row r="680" spans="1:9" x14ac:dyDescent="0.35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35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35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35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35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35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35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35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35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35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35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35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35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35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35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35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35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35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35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35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35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35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35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35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35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35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35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35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35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35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35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35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35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35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35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35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35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35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35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35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35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35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35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35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35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35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35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35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35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35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35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35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35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35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35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35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35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35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35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35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35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35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35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35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35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35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35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35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35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35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35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35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35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35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35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35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35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35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35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35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35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35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35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35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35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35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35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35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35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35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35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35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35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35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35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35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35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35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35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35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35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35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35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35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35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35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35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35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35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35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35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35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35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35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35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35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35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35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35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35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35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35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35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35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35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35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35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35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35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35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35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35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35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35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35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35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35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35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35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35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35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35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35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35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35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35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35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35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35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35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35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35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35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35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35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35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35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35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35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35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35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35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35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35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35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35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35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35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35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35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35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35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35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35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35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35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35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35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35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35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35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35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35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35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35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35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35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35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35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35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35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35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35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35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35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35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35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35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35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35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35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35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35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35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35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35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35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35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35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35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35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35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35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35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35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35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35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35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35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35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35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35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35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35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35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35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35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35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35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35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35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35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35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35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35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35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35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35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35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35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35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35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35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35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35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35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35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35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35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35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35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35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35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35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35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35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35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35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35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35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35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35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35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35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35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35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35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35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35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35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35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35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35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35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35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35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35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35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35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35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35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35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35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35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35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35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35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35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35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35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35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35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35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0</v>
      </c>
      <c r="H972" s="3">
        <v>0</v>
      </c>
      <c r="I972" s="8"/>
    </row>
    <row r="973" spans="1:9" x14ac:dyDescent="0.35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35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35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35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35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35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35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35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35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35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35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35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35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35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35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35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35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35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35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35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35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35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35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35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35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35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35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35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35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35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35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35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35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35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35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35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35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35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35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35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35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35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35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35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35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35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35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35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35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35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35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35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35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35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35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35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35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35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35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35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35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35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35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35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35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35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35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35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35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35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35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35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35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35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35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35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35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35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35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35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35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35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35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35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35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35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35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35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35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35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35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35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35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35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35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35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35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35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35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35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35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35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35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35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35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35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35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35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35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35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35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35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35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35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35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35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35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35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35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35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35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35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35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35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35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35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35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35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35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35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35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35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35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35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35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35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35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35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35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35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35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35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35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35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35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35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35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35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35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35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35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35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35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35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35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35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35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35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35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35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35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35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35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35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35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35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35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35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35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35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35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35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35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35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35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35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35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35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35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35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35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35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35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35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35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35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35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35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35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35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35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35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35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35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35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35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35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35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35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35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35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35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35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35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35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35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35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35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35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35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35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35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35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35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35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35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35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35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35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35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35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35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35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35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35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35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35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35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35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35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35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35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35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35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35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35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35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35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35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35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35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35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35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35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35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35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35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35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35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35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35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35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35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35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35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35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35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35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35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35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35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35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35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35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35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35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35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35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35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35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35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35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35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35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35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35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35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35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35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35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35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35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35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35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35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35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35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35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35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35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35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35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35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35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35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35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35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35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35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35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35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35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35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35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35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35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35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35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35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35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35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35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35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35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35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35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35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35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35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35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35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35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35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35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35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35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35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35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35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35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35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35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35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35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35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35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35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35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35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35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35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35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35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35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35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35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35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35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35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35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35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35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35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35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35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35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35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35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35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35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35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35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35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35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35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35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35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35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35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35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35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35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35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35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35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35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35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35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35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35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35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35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35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35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35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35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35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35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35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35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35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35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35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35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35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35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35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35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35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35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35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35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35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35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35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35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35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35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35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35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35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35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35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35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35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35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35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35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35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35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35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35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35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35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35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35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35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35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35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35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35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35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35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35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35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35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35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35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35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35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35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35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35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35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35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35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35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35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35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35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35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35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35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35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35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35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35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35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35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35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35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35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35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35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35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35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35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35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35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35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35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35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35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35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35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35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35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35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35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35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35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35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35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35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35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35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35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35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35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35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35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35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35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35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35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35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35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35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35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35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35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35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35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35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35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35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35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35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35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35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35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35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35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35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35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35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35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35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35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35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35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35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35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35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35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35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35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35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35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35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35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35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35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35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35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35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35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35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35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35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35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35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35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35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35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35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35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35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35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35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35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35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35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35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35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35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35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35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35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35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35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35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35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35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35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35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35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35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35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35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35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35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35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35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35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35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35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35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35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35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35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35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35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35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35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0</v>
      </c>
      <c r="H1557" s="3">
        <v>0</v>
      </c>
      <c r="I1557" s="8"/>
    </row>
    <row r="1558" spans="1:9" x14ac:dyDescent="0.35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35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35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35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35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35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35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35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35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35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35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35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35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35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35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35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35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35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35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35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35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35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35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35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35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35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35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35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35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35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35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35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35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35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35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35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35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35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35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35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35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35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35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35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35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35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35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35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35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35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35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35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35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35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35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35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35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35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35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35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35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35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35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35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35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35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35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35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35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35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35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35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35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35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35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35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35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35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35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35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35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35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35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35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35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35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35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35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35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35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35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35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35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35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35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35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35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35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35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35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35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35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35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35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35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35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35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35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35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35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35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35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35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35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35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35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35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35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35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35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35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35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35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35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35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35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35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35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35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35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35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35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35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35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35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35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35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35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35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35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35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35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35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35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35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35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35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35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35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35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35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35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35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35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35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35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35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35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35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35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35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35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35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35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35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35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35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35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0</v>
      </c>
      <c r="H1725" s="3">
        <v>0</v>
      </c>
      <c r="I1725" s="8"/>
    </row>
    <row r="1726" spans="1:9" x14ac:dyDescent="0.35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35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35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35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35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35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35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35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35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35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35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35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35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35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35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35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35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35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35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35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35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35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35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35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35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35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35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35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35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35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35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35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35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35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35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35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35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35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35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35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35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35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35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35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35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35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35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35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35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35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35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35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35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35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35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35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35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35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35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35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35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35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35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35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35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35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35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35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35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35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35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35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35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35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35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35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35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35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35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35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35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35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35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35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35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35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35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35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35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35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35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35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35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35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35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35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35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35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35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35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35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35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35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35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35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35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35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35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35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35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35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35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35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35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35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35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35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35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35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35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35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35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35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35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35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35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35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35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35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35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35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35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35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35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35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35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35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35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35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35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35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35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35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35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35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35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35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35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35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35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35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35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35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35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35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35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35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35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35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35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35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35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35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35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35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35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35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35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35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35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35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35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35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35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35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35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35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35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35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35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35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35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35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35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35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35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35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35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35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35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35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35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35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35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35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35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35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35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35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35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35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35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35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35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35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35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35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35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35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35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35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35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35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35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35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35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35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35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35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35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35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35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35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35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35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35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35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35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35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35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35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35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35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35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35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35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35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35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35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35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35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35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35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35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35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35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35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35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35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35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35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35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35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35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35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35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35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35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35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35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35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35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35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35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35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35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35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35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35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35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35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35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35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35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35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35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35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35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35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35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35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35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35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35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35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35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35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35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35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35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35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35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35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35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35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35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35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35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35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35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35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35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35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35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35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35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35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35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35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35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35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35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35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35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35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35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35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35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35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35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35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35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35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35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35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35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35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35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35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35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35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35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35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35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35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35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35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35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35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35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35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35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35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35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35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35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35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35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35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35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35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35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35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35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35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35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35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35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35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35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35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35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35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35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35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35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35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35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35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35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35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35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35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35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35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35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35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35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35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35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35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35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35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35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35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35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35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35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35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35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35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35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35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35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35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35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35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35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35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35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35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35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35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35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35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35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35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35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35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35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35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35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35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35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35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35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35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35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35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35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35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35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35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35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35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35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35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35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35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35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35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35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35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35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35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35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35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35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35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35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35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35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35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35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35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35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35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35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35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35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35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35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35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35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35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35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35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35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35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35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35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35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35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35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35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35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35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35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35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35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35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35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35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35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35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35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35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35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35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35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35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35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35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35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35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35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35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35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35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35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35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35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35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35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35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35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35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35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35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35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35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35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35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35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35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35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35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35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35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35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35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35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35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35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35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35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35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35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35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35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35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35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35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35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35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35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35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35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35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35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35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35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35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35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35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35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35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35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35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35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35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35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35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35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35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35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35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35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35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35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35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35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35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35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35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35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35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35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35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35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35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35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35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35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35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35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35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35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35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35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35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35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35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35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35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35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35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35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35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35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35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35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35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35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35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35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35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35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35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35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35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35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35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35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35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35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35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35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35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35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35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35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35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35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35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35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35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35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35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35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35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35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35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35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35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35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35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35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35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35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35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35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35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35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35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35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35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35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35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35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35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35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35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35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35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35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35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35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35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35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35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35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35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35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35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35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35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35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35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35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35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35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35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35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35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35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35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35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35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35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35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35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35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35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35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35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35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35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35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35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35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35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35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35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35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35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35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35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35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35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35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35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35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35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35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35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35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35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35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35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35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35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35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35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35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35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35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35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35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35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35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35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35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35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35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35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35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35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35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35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35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35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35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35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35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35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35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35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35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35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35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35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35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35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35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35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35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35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35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35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35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35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35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35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35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35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35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35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35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35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35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35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35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35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35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35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35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35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35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35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35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35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35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35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35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35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35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35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35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35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35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35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35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35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35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35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35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35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35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35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35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35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35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35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35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35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35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35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35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35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35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35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35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35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35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35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35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35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35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35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35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35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35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35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35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35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35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35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35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35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35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35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35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35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35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35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35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35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35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35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35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35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35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35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35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35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35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35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35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35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35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35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35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35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35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35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35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35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35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35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35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35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35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35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35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35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35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35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35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35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35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35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35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35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35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35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35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35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35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35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35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35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35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35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35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35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35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35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35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35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35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35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35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35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35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35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35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35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35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35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35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35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35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35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35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35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35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35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35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35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35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35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35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35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-9.4309100000000008</v>
      </c>
      <c r="H2609" s="3">
        <v>-71.897400000000005</v>
      </c>
      <c r="I2609" s="8"/>
    </row>
    <row r="2610" spans="1:9" x14ac:dyDescent="0.35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35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35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35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35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35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35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35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35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35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35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35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35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35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35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35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35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35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35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35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35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35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35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35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35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35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35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35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35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35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35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35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35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35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35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35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35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35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35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35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35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35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35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35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35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35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35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35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35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35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35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35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35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35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35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35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35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35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35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35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35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35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35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35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35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35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35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35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35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35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35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35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35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35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35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35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35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35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0</v>
      </c>
      <c r="H2687" s="3">
        <v>0</v>
      </c>
      <c r="I2687" s="8"/>
    </row>
    <row r="2688" spans="1:9" x14ac:dyDescent="0.35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35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35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35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35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35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35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35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35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35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35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35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35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35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35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35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35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35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35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35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35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35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35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35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35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35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35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35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35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35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35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35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35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35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35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35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35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35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35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35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35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35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35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35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35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35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35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35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35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35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35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35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35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35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35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35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35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35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35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35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35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35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35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35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35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35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35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35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35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35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35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35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35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35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35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35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35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35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35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35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35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35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35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35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35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35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35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35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35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35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35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35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35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35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35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35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35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35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35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35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35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35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35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35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35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35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35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35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35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35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35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35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35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35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35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35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35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35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35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35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35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35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35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35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35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35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35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35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35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35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35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35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35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35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35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35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35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35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35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35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35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35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35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35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35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35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35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35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35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35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35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35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35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35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35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35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35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35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35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35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35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35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35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35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35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35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35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35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35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35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35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35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35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35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35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35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35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35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35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35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35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35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35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35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35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35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35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35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35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35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35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35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35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35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35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35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35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35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35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35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35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35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35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35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35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35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35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35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35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35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35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35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35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35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35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35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35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35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35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35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35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35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35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35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35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35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35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35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35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35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35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35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35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35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35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35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35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35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35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35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35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35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35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35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35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35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35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35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35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35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35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35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35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35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35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35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35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35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35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35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35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35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35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35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35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35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35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35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35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35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35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35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35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35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35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35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35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35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35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35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35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35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35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35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35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35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35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35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35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35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35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35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35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35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35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35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35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35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35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35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35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35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35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35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35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35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35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35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35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35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35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35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35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35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35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35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35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35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35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35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35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35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35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35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35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35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35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35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35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35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35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35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35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35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35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35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35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35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35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35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35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35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35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35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35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35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35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35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35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35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35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35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35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35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35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35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35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35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35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35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35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35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35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35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35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35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35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35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35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35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35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35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35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35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35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35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35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35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35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35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35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35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35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35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35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35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35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35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35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35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35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35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35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35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35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35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35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35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35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35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35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35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35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35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35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35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35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35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35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35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35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35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35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35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35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35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35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35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35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35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35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35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35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35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35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35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35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35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35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35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35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35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35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35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35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35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35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35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35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35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35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35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35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35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35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35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35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35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35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35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35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35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35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35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35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35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35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35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35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35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35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35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35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35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35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35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35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35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35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35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35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35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35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35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35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35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35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35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35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35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35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35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35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35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35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35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35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35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35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35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35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35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35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35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35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35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35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35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35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35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35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35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35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35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35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35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35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35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35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35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35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35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35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35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35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35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35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35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35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35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35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35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35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35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35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35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35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35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35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35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35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35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35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35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35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35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35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35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35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35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35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35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35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35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35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35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35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35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35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35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35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35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35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35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35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35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35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35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35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35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35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35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35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35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35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35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35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35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35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35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35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35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35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35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35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35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35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35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35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35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35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35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35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35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35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35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35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35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35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35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35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35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35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35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35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35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35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35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35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35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35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35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35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35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35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35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35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35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35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35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35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35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35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35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35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35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35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35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35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35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35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35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35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35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35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35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35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35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35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35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35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35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35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35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35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35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35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35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35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35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35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35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35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35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35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35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35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35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35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35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35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35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35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35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35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35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35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35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35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35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35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35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35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35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35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35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35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35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35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35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35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35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35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35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35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35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35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35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35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35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35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35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35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35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35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35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35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35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35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35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35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35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35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35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35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35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35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35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35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35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35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35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35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35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35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35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35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35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35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35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35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35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35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35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35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35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35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35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35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35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35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35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35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35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35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35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35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35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35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35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35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35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35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35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35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35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35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35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35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35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35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35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35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35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35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35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35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35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35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35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35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35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35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35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35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35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35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35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35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35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35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35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35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35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35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35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35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35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35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35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35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35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35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35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35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35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35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35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35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35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35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35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35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35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35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35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35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35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35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35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35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35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35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35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35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35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35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35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35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35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35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35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35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35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35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35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35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35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35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35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35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35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35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35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35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35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35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35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35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35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35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35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35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35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35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35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35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35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35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35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35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35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35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35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35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35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35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35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35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35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35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35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35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35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35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35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35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35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35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35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35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35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35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35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35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35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35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35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35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35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35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35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35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35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35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35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35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35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35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35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35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35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35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35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35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35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35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35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35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35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35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35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35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35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35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35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35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35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35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35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35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35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35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35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35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35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35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35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35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35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35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35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35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35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35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35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35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35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35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35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35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35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35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35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35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35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35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35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35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35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35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35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35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35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35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35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35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35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35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35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35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35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35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35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35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35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35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35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35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35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35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35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35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35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35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35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35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35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35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35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35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35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35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35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35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35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35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35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35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35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35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35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35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35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35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35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35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35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35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35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35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35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35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35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35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35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35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35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35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35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35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35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35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35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35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35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35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35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35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35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35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35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35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35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35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35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35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35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35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35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35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35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35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35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35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35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35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35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35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35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35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35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35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35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35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35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35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35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35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35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35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35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35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35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35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35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35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35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35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35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35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35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35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35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35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35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35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35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35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35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35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35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35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35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35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35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35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35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35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35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35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35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35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35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35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35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35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35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35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35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35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35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35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35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35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35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35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35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35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35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35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35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35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35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35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35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35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35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35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35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35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35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35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35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35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35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35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35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35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35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35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35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35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35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35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35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35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35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35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35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35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35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35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35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35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35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35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35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35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35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35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35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35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35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35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35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35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35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35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35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35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35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35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35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35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35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35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35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35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35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35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35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35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35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35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35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35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35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35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35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35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35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35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35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35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35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35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35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35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35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35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35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35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35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35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35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35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35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35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35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35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35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35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35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35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35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35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35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35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35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35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35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35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35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35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35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35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35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35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35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35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35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35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35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35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35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35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35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35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35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35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35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35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35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35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35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35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35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35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35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35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35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35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35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35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35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35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35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35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35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35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35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35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35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35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35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35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35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35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35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35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35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35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35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35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35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35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35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35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35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35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35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35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35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35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35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35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35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35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35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35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35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35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35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35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35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35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35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35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35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35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35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35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35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35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35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35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35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35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35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35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35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35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35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35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35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35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35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35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35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35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35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35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35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35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35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35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35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35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35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35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35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35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35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35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35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35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35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35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35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35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35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35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35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35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35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35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35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35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35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35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35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35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35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35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35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35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35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35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35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35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35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35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35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35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35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35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35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35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35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35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35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35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35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35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35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35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35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35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35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35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35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35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35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35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35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35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35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35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35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35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35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35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35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35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35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35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35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35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35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35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35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35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35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35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35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35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35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35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35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35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35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35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35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35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35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35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35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35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35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35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35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35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35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35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35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35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35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35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35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35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35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35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35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35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35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35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35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35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35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35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35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35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35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35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35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35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35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35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35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35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35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35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35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35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35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35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35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35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35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35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35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35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35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35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35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35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35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35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35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35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35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35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35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35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35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35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35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35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35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35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35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35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35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35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35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35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35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35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35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35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35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35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35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35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35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35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35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35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35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35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35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35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35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35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35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35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35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35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35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35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35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35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35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35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35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35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35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35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35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35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35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35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35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35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35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35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35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35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35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35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35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35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35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35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35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35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35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35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35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35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35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35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35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35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35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35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35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35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35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35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35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35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35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35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35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35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35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35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35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35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35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35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35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35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35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35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35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35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35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35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35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35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35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35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35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35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35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35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35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35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35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35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35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35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35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35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35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35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35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35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35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35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35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35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35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35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35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35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35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35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35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35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35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35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35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35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35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35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35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35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35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35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35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35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35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35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35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35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35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35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35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35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35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35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35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35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35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35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35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35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35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35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35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35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35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35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35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35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35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35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35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35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35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35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35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35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35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35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35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35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35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35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35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35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35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35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35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35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35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35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35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35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35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35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35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35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35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35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35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35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35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35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35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35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35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35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35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35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35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35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35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35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35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35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35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35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35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35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35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35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35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35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35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35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35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35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35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35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35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35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35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35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35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35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35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35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35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35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35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35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35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35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35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35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35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35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35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35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0</v>
      </c>
      <c r="H4356" s="3">
        <v>0</v>
      </c>
      <c r="I4356" s="8"/>
    </row>
    <row r="4357" spans="1:9" x14ac:dyDescent="0.35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35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35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35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35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35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35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35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35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35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35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35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35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35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35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35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35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35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35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35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35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35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35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35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35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35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35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35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35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35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35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35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35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35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35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35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35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35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35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35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35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35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35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35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35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35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35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35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35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35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35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35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35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35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35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35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35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35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35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35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35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35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35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35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35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35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35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35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35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35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35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0</v>
      </c>
      <c r="H4427" s="3">
        <v>0</v>
      </c>
      <c r="I4427" s="8"/>
    </row>
    <row r="4428" spans="1:9" x14ac:dyDescent="0.35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35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35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35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35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35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35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35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35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35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35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35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35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35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35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35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35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35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35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35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35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35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35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35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35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35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35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35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35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35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35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35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35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35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35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35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35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35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35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0</v>
      </c>
      <c r="H4466" s="3">
        <v>0</v>
      </c>
      <c r="I4466" s="8"/>
    </row>
    <row r="4467" spans="1:9" x14ac:dyDescent="0.35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35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35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35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35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35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35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35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35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35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35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35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35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35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35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35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35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35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35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0</v>
      </c>
      <c r="H4485" s="3">
        <v>0</v>
      </c>
      <c r="I4485" s="8"/>
    </row>
    <row r="4486" spans="1:9" x14ac:dyDescent="0.35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35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35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35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35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35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35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35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35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35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35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35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35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35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35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35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35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35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35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35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35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35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35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35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35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35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35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0</v>
      </c>
      <c r="H4512" s="3">
        <v>0</v>
      </c>
      <c r="I4512" s="8"/>
    </row>
    <row r="4513" spans="1:9" x14ac:dyDescent="0.35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35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35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35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35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35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35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35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35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35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35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35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35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35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35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35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35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35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35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35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35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35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35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35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35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35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35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35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35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35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35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35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35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35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35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35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35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35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35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35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35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35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35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35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35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35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35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35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35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35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35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35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35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35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35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35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35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35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35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35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35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35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35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35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35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35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35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35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35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35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35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35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35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35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35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35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35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35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35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35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35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35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35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35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35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35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35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35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35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35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35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35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35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35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35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35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35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35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35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35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35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35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35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35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35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35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35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35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35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35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35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35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35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35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35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35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35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35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35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35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35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35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35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35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35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35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35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35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35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35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0</v>
      </c>
      <c r="H4642" s="3">
        <v>0</v>
      </c>
      <c r="I4642" s="8"/>
    </row>
    <row r="4643" spans="1:9" x14ac:dyDescent="0.35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35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35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35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35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35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35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35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35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35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35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35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35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35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35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35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35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35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35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35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35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35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35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35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35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35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35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35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35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35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35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35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35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35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35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35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35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35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35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35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35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35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35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35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35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35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35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35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35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35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35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35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35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35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35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35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35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35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0</v>
      </c>
      <c r="H4700" s="3">
        <v>0</v>
      </c>
      <c r="I4700" s="8"/>
    </row>
    <row r="4701" spans="1:9" x14ac:dyDescent="0.35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35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35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35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35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35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35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35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35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35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35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35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35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35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35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35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35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35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35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35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35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35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35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35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35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35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35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35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35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35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35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35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35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35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35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35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35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35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35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35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35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35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35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35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35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35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35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35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35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35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35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35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35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35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35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35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35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35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35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35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35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35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35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35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35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35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35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35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35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35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35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35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35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35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35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35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35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35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35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35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35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35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35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35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35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35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35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35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35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35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35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35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35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35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35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35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35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35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35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35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35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35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35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35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35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35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35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35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35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35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35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35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35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35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35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35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35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35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35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35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35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35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35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35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35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35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35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35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35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35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35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35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35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35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35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35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35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35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35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35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35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35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35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35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35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35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35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35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35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35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35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35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35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35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35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35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35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35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35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35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35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35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35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35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35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35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35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35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35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35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35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35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35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35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35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35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35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35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35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35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35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35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35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35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35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35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35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35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35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35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35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35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35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35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35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35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35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35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35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35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35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35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35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35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35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35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35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35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35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35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35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35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35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35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0</v>
      </c>
      <c r="H4914" s="3">
        <v>0</v>
      </c>
      <c r="I4914" s="8"/>
    </row>
    <row r="4915" spans="1:9" x14ac:dyDescent="0.35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35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35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35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35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35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35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35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35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35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35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35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35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35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35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35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35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35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35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35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35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0</v>
      </c>
      <c r="H4935" s="3">
        <v>0</v>
      </c>
      <c r="I4935" s="8"/>
    </row>
    <row r="4936" spans="1:9" x14ac:dyDescent="0.35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35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35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35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35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35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35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35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35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35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35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35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35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35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35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35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35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35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35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35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35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35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35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35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35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35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35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35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35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35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35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35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35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35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35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35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35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35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35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35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35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35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35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35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35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35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35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35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35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35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35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35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35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35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35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35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35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35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35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35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35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35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35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35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35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35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35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35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35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35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35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35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35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35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35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35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35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35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35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35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35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35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35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35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35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35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35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35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35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35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35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35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35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35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35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35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35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35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35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35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35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35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35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35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35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35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35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35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35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35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35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35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35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35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35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35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35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35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35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35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35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35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35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35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35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35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35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35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35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35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35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35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35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35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35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35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35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35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35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35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35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35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35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35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35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35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35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35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35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35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35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35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35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35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35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35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35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35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35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35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35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35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35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35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35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35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35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35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35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35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35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35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35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35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35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35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35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35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35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35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0</v>
      </c>
      <c r="H5115" s="3">
        <v>0</v>
      </c>
      <c r="I5115" s="8"/>
    </row>
    <row r="5116" spans="1:9" x14ac:dyDescent="0.35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35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35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35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35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35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35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35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35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35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35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35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35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35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35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35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35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35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35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35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35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35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35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35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35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35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35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35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35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35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35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35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35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35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35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35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35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35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35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35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35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35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35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35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35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35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35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35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35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35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35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35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35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35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35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35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35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35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35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35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35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35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35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35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35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35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35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35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35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35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35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35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35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35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35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35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35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35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35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35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35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35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35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35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35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35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35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35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35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35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35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35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35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35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35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35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35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35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35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35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35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35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35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35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35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35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35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35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35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35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35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35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35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35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35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35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35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35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35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35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35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35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35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35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35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35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35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35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35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35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35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35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35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35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35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35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35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35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35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35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35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35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35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35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35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35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35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35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35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35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35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35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35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35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35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35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35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35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35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35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35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35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35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35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35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35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35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35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35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35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35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35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35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35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35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35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35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35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35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35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35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35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35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35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35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35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35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35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35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0</v>
      </c>
      <c r="H5304" s="3">
        <v>0</v>
      </c>
      <c r="I5304" s="8"/>
    </row>
    <row r="5305" spans="1:9" x14ac:dyDescent="0.35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35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35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35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35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35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35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35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35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35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35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35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35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35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35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35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35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35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35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35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35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35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35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35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35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35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35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35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35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35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35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35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35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35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35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35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35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35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35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35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35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35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35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35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35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35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35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35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35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35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35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35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35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35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35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35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35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35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35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35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35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35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35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35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35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35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35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35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35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35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35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35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35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35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35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35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35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35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35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35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35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35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35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35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35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35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35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35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35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35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35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35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35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35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35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35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35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35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35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35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35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35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35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35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35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35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35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35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35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35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35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35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35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35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35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35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35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35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35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35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35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35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35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35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35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35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35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35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35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35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35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35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35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35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35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35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35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35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35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35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35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35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35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35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35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35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35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35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35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35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35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35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35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35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35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35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35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35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35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35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35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35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35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35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35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35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35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35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35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35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35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35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35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35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35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35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35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35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35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35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35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35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35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35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35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35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35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35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35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35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35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35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35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35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35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35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35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35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35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35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35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35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35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35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35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35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35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35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35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35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35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35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35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35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35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35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35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35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35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35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35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35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35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35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35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35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35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35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35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35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35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35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35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35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35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35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35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35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35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35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35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35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35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35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35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35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35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35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35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35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35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35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35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35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35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35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35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35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35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35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35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35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35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35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35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35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35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29"/>
  <sheetViews>
    <sheetView zoomScale="80" zoomScaleNormal="80" workbookViewId="0">
      <pane ySplit="1" topLeftCell="A2" activePane="bottomLeft" state="frozen"/>
      <selection pane="bottomLeft"/>
    </sheetView>
  </sheetViews>
  <sheetFormatPr defaultColWidth="8.28515625" defaultRowHeight="17.25" customHeight="1" x14ac:dyDescent="0.35"/>
  <cols>
    <col min="1" max="1" width="22" style="6" customWidth="1"/>
    <col min="2" max="2" width="18.28515625" style="3" customWidth="1"/>
    <col min="3" max="3" width="32.7109375" style="3" bestFit="1" customWidth="1"/>
    <col min="4" max="4" width="95.85546875" style="100" bestFit="1" customWidth="1"/>
    <col min="5" max="5" width="43.140625" style="1" customWidth="1"/>
    <col min="6" max="7" width="10.140625" style="3" customWidth="1"/>
    <col min="8" max="8" width="51" style="3" customWidth="1"/>
    <col min="9" max="9" width="39.7109375" style="3" customWidth="1"/>
    <col min="10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1" customWidth="1"/>
    <col min="18" max="18" width="49.5703125" style="1" bestFit="1" customWidth="1"/>
    <col min="19" max="19" width="16.85546875" style="1" bestFit="1" customWidth="1"/>
    <col min="20" max="20" width="11.140625" style="1" bestFit="1" customWidth="1"/>
    <col min="21" max="21" width="57.42578125" style="1" bestFit="1" customWidth="1"/>
    <col min="22" max="22" width="49.5703125" style="1" bestFit="1" customWidth="1"/>
    <col min="23" max="23" width="16.85546875" style="1" bestFit="1" customWidth="1"/>
    <col min="24" max="24" width="12.5703125" style="1" customWidth="1"/>
    <col min="25" max="25" width="57.42578125" style="1" bestFit="1" customWidth="1"/>
    <col min="26" max="16384" width="8.28515625" style="1"/>
  </cols>
  <sheetData>
    <row r="1" spans="1:16" s="18" customFormat="1" ht="17.25" customHeight="1" x14ac:dyDescent="0.35">
      <c r="A1" s="19" t="s">
        <v>9717</v>
      </c>
      <c r="B1" s="19" t="s">
        <v>9810</v>
      </c>
      <c r="C1" s="19" t="s">
        <v>10274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35">
      <c r="A2" s="117" t="s">
        <v>9640</v>
      </c>
      <c r="B2" s="91" t="s">
        <v>9881</v>
      </c>
      <c r="C2" s="91" t="s">
        <v>10275</v>
      </c>
      <c r="D2" s="92" t="s">
        <v>9638</v>
      </c>
      <c r="E2" s="93" t="s">
        <v>9663</v>
      </c>
      <c r="F2" s="94" t="s">
        <v>9642</v>
      </c>
      <c r="G2" s="94" t="s">
        <v>9719</v>
      </c>
      <c r="H2" s="94" t="s">
        <v>9688</v>
      </c>
      <c r="I2" s="94" t="s">
        <v>10583</v>
      </c>
      <c r="J2" s="94" t="s">
        <v>9780</v>
      </c>
      <c r="K2" s="94" t="s">
        <v>9780</v>
      </c>
      <c r="L2" s="94" t="s">
        <v>9780</v>
      </c>
      <c r="M2" s="94" t="s">
        <v>9780</v>
      </c>
      <c r="N2" s="94" t="str">
        <f>IF(F2="String",IF(I2&lt;&gt;"","Sim","Não"),IF(F2="List",IF(I2&lt;&gt;"","Sim","Não"),IF(AND(I2&gt;=O2,I2&lt;=P2,I2&lt;&gt;""),"Sim","Não")))</f>
        <v>Sim</v>
      </c>
      <c r="O2" s="94" t="s">
        <v>9780</v>
      </c>
      <c r="P2" s="94" t="s">
        <v>9780</v>
      </c>
    </row>
    <row r="3" spans="1:16" ht="17.25" customHeight="1" x14ac:dyDescent="0.35">
      <c r="A3" s="117"/>
      <c r="B3" s="91" t="s">
        <v>9881</v>
      </c>
      <c r="C3" s="91" t="s">
        <v>10275</v>
      </c>
      <c r="D3" s="92" t="s">
        <v>9641</v>
      </c>
      <c r="E3" s="93" t="s">
        <v>9664</v>
      </c>
      <c r="F3" s="94" t="s">
        <v>9642</v>
      </c>
      <c r="G3" s="94" t="s">
        <v>9719</v>
      </c>
      <c r="H3" s="94" t="s">
        <v>9955</v>
      </c>
      <c r="I3" s="94" t="s">
        <v>10584</v>
      </c>
      <c r="J3" s="94" t="s">
        <v>9780</v>
      </c>
      <c r="K3" s="94" t="s">
        <v>9780</v>
      </c>
      <c r="L3" s="94" t="s">
        <v>9780</v>
      </c>
      <c r="M3" s="94" t="s">
        <v>9780</v>
      </c>
      <c r="N3" s="94" t="str">
        <f t="shared" ref="N3:N70" si="0">IF(F3="String",IF(I3&lt;&gt;"","Sim","Não"),IF(F3="List",IF(I3&lt;&gt;"","Sim","Não"),IF(AND(I3&gt;=O3,I3&lt;=P3,I3&lt;&gt;""),"Sim","Não")))</f>
        <v>Sim</v>
      </c>
      <c r="O3" s="94" t="s">
        <v>9780</v>
      </c>
      <c r="P3" s="94" t="s">
        <v>9780</v>
      </c>
    </row>
    <row r="4" spans="1:16" ht="17.25" customHeight="1" x14ac:dyDescent="0.35">
      <c r="A4" s="117" t="s">
        <v>9639</v>
      </c>
      <c r="B4" s="91" t="s">
        <v>9881</v>
      </c>
      <c r="C4" s="91" t="s">
        <v>10277</v>
      </c>
      <c r="D4" s="92" t="s">
        <v>9632</v>
      </c>
      <c r="E4" s="93" t="s">
        <v>9665</v>
      </c>
      <c r="F4" s="94" t="s">
        <v>9687</v>
      </c>
      <c r="G4" s="94" t="s">
        <v>9719</v>
      </c>
      <c r="H4" s="94" t="s">
        <v>9781</v>
      </c>
      <c r="I4" s="95">
        <v>0.9</v>
      </c>
      <c r="J4" s="95">
        <v>0.9</v>
      </c>
      <c r="K4" s="94" t="s">
        <v>9780</v>
      </c>
      <c r="L4" s="94" t="s">
        <v>9780</v>
      </c>
      <c r="M4" s="94" t="s">
        <v>9780</v>
      </c>
      <c r="N4" s="94" t="str">
        <f t="shared" si="0"/>
        <v>Sim</v>
      </c>
      <c r="O4" s="94">
        <v>0.75</v>
      </c>
      <c r="P4" s="94">
        <v>1.25</v>
      </c>
    </row>
    <row r="5" spans="1:16" ht="17.25" customHeight="1" x14ac:dyDescent="0.35">
      <c r="A5" s="117"/>
      <c r="B5" s="91" t="s">
        <v>9881</v>
      </c>
      <c r="C5" s="91" t="s">
        <v>10277</v>
      </c>
      <c r="D5" s="92" t="s">
        <v>9633</v>
      </c>
      <c r="E5" s="93" t="s">
        <v>9666</v>
      </c>
      <c r="F5" s="94" t="s">
        <v>9687</v>
      </c>
      <c r="G5" s="94" t="s">
        <v>9719</v>
      </c>
      <c r="H5" s="94" t="s">
        <v>9634</v>
      </c>
      <c r="I5" s="95">
        <v>2.5</v>
      </c>
      <c r="J5" s="95">
        <v>2.5</v>
      </c>
      <c r="K5" s="94" t="s">
        <v>9951</v>
      </c>
      <c r="L5" s="15" t="s">
        <v>9949</v>
      </c>
      <c r="M5" s="15" t="s">
        <v>9737</v>
      </c>
      <c r="N5" s="94" t="str">
        <f t="shared" si="0"/>
        <v>Sim</v>
      </c>
      <c r="O5" s="94">
        <v>0</v>
      </c>
      <c r="P5" s="94">
        <v>100</v>
      </c>
    </row>
    <row r="6" spans="1:16" ht="17.25" customHeight="1" x14ac:dyDescent="0.35">
      <c r="A6" s="117"/>
      <c r="B6" s="91" t="s">
        <v>9881</v>
      </c>
      <c r="C6" s="91" t="s">
        <v>10277</v>
      </c>
      <c r="D6" s="92" t="s">
        <v>9635</v>
      </c>
      <c r="E6" s="93" t="s">
        <v>9667</v>
      </c>
      <c r="F6" s="94" t="s">
        <v>9687</v>
      </c>
      <c r="G6" s="94" t="s">
        <v>9719</v>
      </c>
      <c r="H6" s="94" t="s">
        <v>9636</v>
      </c>
      <c r="I6" s="95">
        <v>0.5</v>
      </c>
      <c r="J6" s="95">
        <v>0.5</v>
      </c>
      <c r="K6" s="94" t="s">
        <v>9951</v>
      </c>
      <c r="L6" s="15" t="s">
        <v>9949</v>
      </c>
      <c r="M6" s="15" t="s">
        <v>9738</v>
      </c>
      <c r="N6" s="94" t="str">
        <f t="shared" si="0"/>
        <v>Sim</v>
      </c>
      <c r="O6" s="94">
        <v>0</v>
      </c>
      <c r="P6" s="94">
        <v>100</v>
      </c>
    </row>
    <row r="7" spans="1:16" ht="17.25" customHeight="1" x14ac:dyDescent="0.35">
      <c r="A7" s="117"/>
      <c r="B7" s="91" t="s">
        <v>9881</v>
      </c>
      <c r="C7" s="91" t="s">
        <v>10277</v>
      </c>
      <c r="D7" s="92" t="s">
        <v>9637</v>
      </c>
      <c r="E7" s="93" t="s">
        <v>9668</v>
      </c>
      <c r="F7" s="94" t="s">
        <v>9687</v>
      </c>
      <c r="G7" s="94" t="s">
        <v>9719</v>
      </c>
      <c r="H7" s="94" t="s">
        <v>9636</v>
      </c>
      <c r="I7" s="95">
        <v>1</v>
      </c>
      <c r="J7" s="95">
        <v>1</v>
      </c>
      <c r="K7" s="94" t="s">
        <v>9951</v>
      </c>
      <c r="L7" s="15" t="s">
        <v>9949</v>
      </c>
      <c r="M7" s="15" t="s">
        <v>9739</v>
      </c>
      <c r="N7" s="94" t="str">
        <f t="shared" si="0"/>
        <v>Sim</v>
      </c>
      <c r="O7" s="94">
        <v>0</v>
      </c>
      <c r="P7" s="94">
        <v>100</v>
      </c>
    </row>
    <row r="8" spans="1:16" ht="17.25" customHeight="1" x14ac:dyDescent="0.35">
      <c r="A8" s="117" t="s">
        <v>9660</v>
      </c>
      <c r="B8" s="91" t="s">
        <v>9881</v>
      </c>
      <c r="C8" s="91" t="s">
        <v>10276</v>
      </c>
      <c r="D8" s="92" t="s">
        <v>9646</v>
      </c>
      <c r="E8" s="93" t="s">
        <v>9672</v>
      </c>
      <c r="F8" s="94" t="s">
        <v>9687</v>
      </c>
      <c r="G8" s="94" t="s">
        <v>9719</v>
      </c>
      <c r="H8" s="94" t="s">
        <v>9634</v>
      </c>
      <c r="I8" s="27">
        <v>48.4</v>
      </c>
      <c r="J8" s="27">
        <v>48.4</v>
      </c>
      <c r="K8" s="94" t="s">
        <v>9951</v>
      </c>
      <c r="L8" s="15" t="s">
        <v>9949</v>
      </c>
      <c r="M8" s="15" t="s">
        <v>9741</v>
      </c>
      <c r="N8" s="94" t="str">
        <f t="shared" si="0"/>
        <v>Sim</v>
      </c>
      <c r="O8" s="94">
        <v>0</v>
      </c>
      <c r="P8" s="94">
        <v>100</v>
      </c>
    </row>
    <row r="9" spans="1:16" ht="17.25" customHeight="1" x14ac:dyDescent="0.35">
      <c r="A9" s="117"/>
      <c r="B9" s="91" t="s">
        <v>9881</v>
      </c>
      <c r="C9" s="91" t="s">
        <v>10276</v>
      </c>
      <c r="D9" s="92" t="s">
        <v>9647</v>
      </c>
      <c r="E9" s="93" t="s">
        <v>9673</v>
      </c>
      <c r="F9" s="94" t="s">
        <v>9687</v>
      </c>
      <c r="G9" s="94" t="s">
        <v>9719</v>
      </c>
      <c r="H9" s="94" t="s">
        <v>9634</v>
      </c>
      <c r="I9" s="27">
        <v>3</v>
      </c>
      <c r="J9" s="27">
        <v>3</v>
      </c>
      <c r="K9" s="94" t="s">
        <v>9951</v>
      </c>
      <c r="L9" s="15" t="s">
        <v>9949</v>
      </c>
      <c r="M9" s="15" t="s">
        <v>9742</v>
      </c>
      <c r="N9" s="94" t="str">
        <f t="shared" si="0"/>
        <v>Sim</v>
      </c>
      <c r="O9" s="94">
        <v>0</v>
      </c>
      <c r="P9" s="94">
        <v>100</v>
      </c>
    </row>
    <row r="10" spans="1:16" ht="17.25" customHeight="1" x14ac:dyDescent="0.35">
      <c r="A10" s="117"/>
      <c r="B10" s="91" t="s">
        <v>9881</v>
      </c>
      <c r="C10" s="91" t="s">
        <v>10276</v>
      </c>
      <c r="D10" s="92" t="s">
        <v>9648</v>
      </c>
      <c r="E10" s="93" t="s">
        <v>9674</v>
      </c>
      <c r="F10" s="94" t="s">
        <v>9687</v>
      </c>
      <c r="G10" s="94" t="s">
        <v>9719</v>
      </c>
      <c r="H10" s="94" t="s">
        <v>9634</v>
      </c>
      <c r="I10" s="27">
        <v>13.1</v>
      </c>
      <c r="J10" s="27">
        <v>13.1</v>
      </c>
      <c r="K10" s="94" t="s">
        <v>9951</v>
      </c>
      <c r="L10" s="15" t="s">
        <v>9949</v>
      </c>
      <c r="M10" s="15" t="s">
        <v>9743</v>
      </c>
      <c r="N10" s="94" t="str">
        <f t="shared" si="0"/>
        <v>Sim</v>
      </c>
      <c r="O10" s="94">
        <v>0</v>
      </c>
      <c r="P10" s="94">
        <v>100</v>
      </c>
    </row>
    <row r="11" spans="1:16" s="18" customFormat="1" ht="17.25" customHeight="1" x14ac:dyDescent="0.35">
      <c r="A11" s="117"/>
      <c r="B11" s="91" t="s">
        <v>9881</v>
      </c>
      <c r="C11" s="91" t="s">
        <v>10276</v>
      </c>
      <c r="D11" s="92" t="s">
        <v>9649</v>
      </c>
      <c r="E11" s="93" t="s">
        <v>9675</v>
      </c>
      <c r="F11" s="94" t="s">
        <v>9687</v>
      </c>
      <c r="G11" s="94" t="s">
        <v>9719</v>
      </c>
      <c r="H11" s="94" t="s">
        <v>9634</v>
      </c>
      <c r="I11" s="27">
        <v>8.9</v>
      </c>
      <c r="J11" s="27">
        <v>8.9</v>
      </c>
      <c r="K11" s="94" t="s">
        <v>9951</v>
      </c>
      <c r="L11" s="15" t="s">
        <v>9949</v>
      </c>
      <c r="M11" s="15" t="s">
        <v>9744</v>
      </c>
      <c r="N11" s="94" t="str">
        <f t="shared" si="0"/>
        <v>Sim</v>
      </c>
      <c r="O11" s="94">
        <v>0</v>
      </c>
      <c r="P11" s="94">
        <v>100</v>
      </c>
    </row>
    <row r="12" spans="1:16" ht="17.25" customHeight="1" x14ac:dyDescent="0.35">
      <c r="A12" s="117"/>
      <c r="B12" s="91" t="s">
        <v>9881</v>
      </c>
      <c r="C12" s="91" t="s">
        <v>10276</v>
      </c>
      <c r="D12" s="92" t="s">
        <v>9650</v>
      </c>
      <c r="E12" s="93" t="s">
        <v>9676</v>
      </c>
      <c r="F12" s="94" t="s">
        <v>9687</v>
      </c>
      <c r="G12" s="94" t="s">
        <v>9719</v>
      </c>
      <c r="H12" s="94" t="s">
        <v>9634</v>
      </c>
      <c r="I12" s="27">
        <v>4.5999999999999996</v>
      </c>
      <c r="J12" s="27">
        <v>4.5999999999999996</v>
      </c>
      <c r="K12" s="94" t="s">
        <v>9951</v>
      </c>
      <c r="L12" s="15" t="s">
        <v>9949</v>
      </c>
      <c r="M12" s="15" t="s">
        <v>9745</v>
      </c>
      <c r="N12" s="94" t="str">
        <f t="shared" si="0"/>
        <v>Sim</v>
      </c>
      <c r="O12" s="94">
        <v>0</v>
      </c>
      <c r="P12" s="94">
        <v>100</v>
      </c>
    </row>
    <row r="13" spans="1:16" ht="17.25" customHeight="1" x14ac:dyDescent="0.35">
      <c r="A13" s="117"/>
      <c r="B13" s="91" t="s">
        <v>9881</v>
      </c>
      <c r="C13" s="91" t="s">
        <v>10276</v>
      </c>
      <c r="D13" s="92" t="s">
        <v>9651</v>
      </c>
      <c r="E13" s="93" t="s">
        <v>9677</v>
      </c>
      <c r="F13" s="94" t="s">
        <v>9687</v>
      </c>
      <c r="G13" s="94" t="s">
        <v>9719</v>
      </c>
      <c r="H13" s="94" t="s">
        <v>9634</v>
      </c>
      <c r="I13" s="27">
        <v>2.4</v>
      </c>
      <c r="J13" s="27">
        <v>2.4</v>
      </c>
      <c r="K13" s="94" t="s">
        <v>9951</v>
      </c>
      <c r="L13" s="15" t="s">
        <v>9949</v>
      </c>
      <c r="M13" s="15" t="s">
        <v>9746</v>
      </c>
      <c r="N13" s="94" t="str">
        <f t="shared" si="0"/>
        <v>Sim</v>
      </c>
      <c r="O13" s="94">
        <v>0</v>
      </c>
      <c r="P13" s="94">
        <v>100</v>
      </c>
    </row>
    <row r="14" spans="1:16" ht="17.25" customHeight="1" x14ac:dyDescent="0.35">
      <c r="A14" s="117"/>
      <c r="B14" s="91" t="s">
        <v>9881</v>
      </c>
      <c r="C14" s="91" t="s">
        <v>10276</v>
      </c>
      <c r="D14" s="92" t="s">
        <v>9652</v>
      </c>
      <c r="E14" s="93" t="s">
        <v>9678</v>
      </c>
      <c r="F14" s="94" t="s">
        <v>9687</v>
      </c>
      <c r="G14" s="94" t="s">
        <v>9719</v>
      </c>
      <c r="H14" s="94" t="s">
        <v>9634</v>
      </c>
      <c r="I14" s="27">
        <v>2.2999999999999998</v>
      </c>
      <c r="J14" s="27">
        <v>2.2999999999999998</v>
      </c>
      <c r="K14" s="94" t="s">
        <v>9951</v>
      </c>
      <c r="L14" s="15" t="s">
        <v>9949</v>
      </c>
      <c r="M14" s="15" t="s">
        <v>9747</v>
      </c>
      <c r="N14" s="94" t="str">
        <f t="shared" si="0"/>
        <v>Sim</v>
      </c>
      <c r="O14" s="94">
        <v>0</v>
      </c>
      <c r="P14" s="94">
        <v>100</v>
      </c>
    </row>
    <row r="15" spans="1:16" ht="17.25" customHeight="1" x14ac:dyDescent="0.35">
      <c r="A15" s="117"/>
      <c r="B15" s="91" t="s">
        <v>9881</v>
      </c>
      <c r="C15" s="91" t="s">
        <v>10276</v>
      </c>
      <c r="D15" s="92" t="s">
        <v>9653</v>
      </c>
      <c r="E15" s="93" t="s">
        <v>9679</v>
      </c>
      <c r="F15" s="94" t="s">
        <v>9687</v>
      </c>
      <c r="G15" s="94" t="s">
        <v>9719</v>
      </c>
      <c r="H15" s="94" t="s">
        <v>9634</v>
      </c>
      <c r="I15" s="27">
        <v>0.6</v>
      </c>
      <c r="J15" s="27">
        <v>0.6</v>
      </c>
      <c r="K15" s="94" t="s">
        <v>9951</v>
      </c>
      <c r="L15" s="15" t="s">
        <v>9949</v>
      </c>
      <c r="M15" s="15" t="s">
        <v>9748</v>
      </c>
      <c r="N15" s="94" t="str">
        <f t="shared" si="0"/>
        <v>Sim</v>
      </c>
      <c r="O15" s="94">
        <v>0</v>
      </c>
      <c r="P15" s="94">
        <v>100</v>
      </c>
    </row>
    <row r="16" spans="1:16" ht="17.25" customHeight="1" x14ac:dyDescent="0.35">
      <c r="A16" s="117"/>
      <c r="B16" s="91" t="s">
        <v>9881</v>
      </c>
      <c r="C16" s="91" t="s">
        <v>10276</v>
      </c>
      <c r="D16" s="92" t="s">
        <v>9654</v>
      </c>
      <c r="E16" s="93" t="s">
        <v>9680</v>
      </c>
      <c r="F16" s="94" t="s">
        <v>9687</v>
      </c>
      <c r="G16" s="94" t="s">
        <v>9719</v>
      </c>
      <c r="H16" s="94" t="s">
        <v>9634</v>
      </c>
      <c r="I16" s="27">
        <v>2.6</v>
      </c>
      <c r="J16" s="27">
        <v>2.6</v>
      </c>
      <c r="K16" s="94" t="s">
        <v>9951</v>
      </c>
      <c r="L16" s="15" t="s">
        <v>9949</v>
      </c>
      <c r="M16" s="15" t="s">
        <v>9749</v>
      </c>
      <c r="N16" s="94" t="str">
        <f t="shared" si="0"/>
        <v>Sim</v>
      </c>
      <c r="O16" s="94">
        <v>0</v>
      </c>
      <c r="P16" s="94">
        <v>100</v>
      </c>
    </row>
    <row r="17" spans="1:16" ht="17.25" customHeight="1" x14ac:dyDescent="0.35">
      <c r="A17" s="117"/>
      <c r="B17" s="91" t="s">
        <v>9881</v>
      </c>
      <c r="C17" s="91" t="s">
        <v>10276</v>
      </c>
      <c r="D17" s="92" t="s">
        <v>9655</v>
      </c>
      <c r="E17" s="93" t="s">
        <v>9681</v>
      </c>
      <c r="F17" s="94" t="s">
        <v>9687</v>
      </c>
      <c r="G17" s="94" t="s">
        <v>9719</v>
      </c>
      <c r="H17" s="94" t="s">
        <v>9634</v>
      </c>
      <c r="I17" s="27">
        <v>0.7</v>
      </c>
      <c r="J17" s="27">
        <v>0.7</v>
      </c>
      <c r="K17" s="94" t="s">
        <v>9951</v>
      </c>
      <c r="L17" s="15" t="s">
        <v>9949</v>
      </c>
      <c r="M17" s="15" t="s">
        <v>9750</v>
      </c>
      <c r="N17" s="94" t="str">
        <f t="shared" si="0"/>
        <v>Sim</v>
      </c>
      <c r="O17" s="94">
        <v>0</v>
      </c>
      <c r="P17" s="94">
        <v>100</v>
      </c>
    </row>
    <row r="18" spans="1:16" ht="17.25" customHeight="1" x14ac:dyDescent="0.35">
      <c r="A18" s="117"/>
      <c r="B18" s="91" t="s">
        <v>9881</v>
      </c>
      <c r="C18" s="91" t="s">
        <v>10276</v>
      </c>
      <c r="D18" s="92" t="s">
        <v>9656</v>
      </c>
      <c r="E18" s="93" t="s">
        <v>9682</v>
      </c>
      <c r="F18" s="94" t="s">
        <v>9687</v>
      </c>
      <c r="G18" s="94" t="s">
        <v>9719</v>
      </c>
      <c r="H18" s="94" t="s">
        <v>9634</v>
      </c>
      <c r="I18" s="27">
        <v>4</v>
      </c>
      <c r="J18" s="27">
        <v>4</v>
      </c>
      <c r="K18" s="94" t="s">
        <v>9951</v>
      </c>
      <c r="L18" s="15" t="s">
        <v>9949</v>
      </c>
      <c r="M18" s="15" t="s">
        <v>9751</v>
      </c>
      <c r="N18" s="94" t="str">
        <f t="shared" si="0"/>
        <v>Sim</v>
      </c>
      <c r="O18" s="94">
        <v>0</v>
      </c>
      <c r="P18" s="94">
        <v>100</v>
      </c>
    </row>
    <row r="19" spans="1:16" ht="17.25" customHeight="1" x14ac:dyDescent="0.35">
      <c r="A19" s="117"/>
      <c r="B19" s="91" t="s">
        <v>9881</v>
      </c>
      <c r="C19" s="91" t="s">
        <v>10276</v>
      </c>
      <c r="D19" s="92" t="s">
        <v>9657</v>
      </c>
      <c r="E19" s="93" t="s">
        <v>9683</v>
      </c>
      <c r="F19" s="94" t="s">
        <v>9687</v>
      </c>
      <c r="G19" s="94" t="s">
        <v>9719</v>
      </c>
      <c r="H19" s="94" t="s">
        <v>9634</v>
      </c>
      <c r="I19" s="27">
        <v>4.7</v>
      </c>
      <c r="J19" s="27">
        <v>4.7</v>
      </c>
      <c r="K19" s="94" t="s">
        <v>9951</v>
      </c>
      <c r="L19" s="15" t="s">
        <v>9949</v>
      </c>
      <c r="M19" s="15" t="s">
        <v>9752</v>
      </c>
      <c r="N19" s="94" t="str">
        <f t="shared" si="0"/>
        <v>Sim</v>
      </c>
      <c r="O19" s="94">
        <v>0</v>
      </c>
      <c r="P19" s="94">
        <v>100</v>
      </c>
    </row>
    <row r="20" spans="1:16" s="18" customFormat="1" ht="17.25" customHeight="1" x14ac:dyDescent="0.35">
      <c r="A20" s="117"/>
      <c r="B20" s="91" t="s">
        <v>9881</v>
      </c>
      <c r="C20" s="91" t="s">
        <v>10276</v>
      </c>
      <c r="D20" s="92" t="s">
        <v>9658</v>
      </c>
      <c r="E20" s="93" t="s">
        <v>9684</v>
      </c>
      <c r="F20" s="94" t="s">
        <v>9687</v>
      </c>
      <c r="G20" s="94" t="s">
        <v>9719</v>
      </c>
      <c r="H20" s="94" t="s">
        <v>9634</v>
      </c>
      <c r="I20" s="27">
        <v>0</v>
      </c>
      <c r="J20" s="27">
        <v>0</v>
      </c>
      <c r="K20" s="94" t="s">
        <v>9951</v>
      </c>
      <c r="L20" s="15" t="s">
        <v>9949</v>
      </c>
      <c r="M20" s="15" t="s">
        <v>9753</v>
      </c>
      <c r="N20" s="94" t="str">
        <f t="shared" si="0"/>
        <v>Sim</v>
      </c>
      <c r="O20" s="94">
        <v>0</v>
      </c>
      <c r="P20" s="94">
        <v>100</v>
      </c>
    </row>
    <row r="21" spans="1:16" ht="17.25" customHeight="1" x14ac:dyDescent="0.35">
      <c r="A21" s="117"/>
      <c r="B21" s="91" t="s">
        <v>9881</v>
      </c>
      <c r="C21" s="91" t="s">
        <v>10276</v>
      </c>
      <c r="D21" s="92" t="s">
        <v>9659</v>
      </c>
      <c r="E21" s="22" t="s">
        <v>9685</v>
      </c>
      <c r="F21" s="94" t="s">
        <v>9687</v>
      </c>
      <c r="G21" s="94" t="s">
        <v>9719</v>
      </c>
      <c r="H21" s="94" t="s">
        <v>9634</v>
      </c>
      <c r="I21" s="27">
        <v>4.7</v>
      </c>
      <c r="J21" s="27">
        <v>4.7</v>
      </c>
      <c r="K21" s="94" t="s">
        <v>9951</v>
      </c>
      <c r="L21" s="15" t="s">
        <v>9949</v>
      </c>
      <c r="M21" s="15" t="s">
        <v>9754</v>
      </c>
      <c r="N21" s="94" t="str">
        <f t="shared" si="0"/>
        <v>Sim</v>
      </c>
      <c r="O21" s="94">
        <v>0</v>
      </c>
      <c r="P21" s="94">
        <v>100</v>
      </c>
    </row>
    <row r="22" spans="1:16" ht="17.25" customHeight="1" x14ac:dyDescent="0.35">
      <c r="A22" s="117"/>
      <c r="B22" s="91" t="s">
        <v>9881</v>
      </c>
      <c r="C22" s="91" t="s">
        <v>10276</v>
      </c>
      <c r="D22" s="92" t="s">
        <v>10298</v>
      </c>
      <c r="E22" s="22" t="s">
        <v>10299</v>
      </c>
      <c r="F22" s="94" t="s">
        <v>9687</v>
      </c>
      <c r="G22" s="94" t="s">
        <v>9719</v>
      </c>
      <c r="H22" s="94" t="s">
        <v>9634</v>
      </c>
      <c r="I22" s="27">
        <v>100</v>
      </c>
      <c r="J22" s="27">
        <v>100</v>
      </c>
      <c r="K22" s="94" t="s">
        <v>9780</v>
      </c>
      <c r="L22" s="15" t="s">
        <v>9780</v>
      </c>
      <c r="M22" s="15" t="s">
        <v>9780</v>
      </c>
      <c r="N22" s="94" t="str">
        <f t="shared" si="0"/>
        <v>Sim</v>
      </c>
      <c r="O22" s="94">
        <v>100</v>
      </c>
      <c r="P22" s="94">
        <v>100</v>
      </c>
    </row>
    <row r="23" spans="1:16" ht="17.25" customHeight="1" x14ac:dyDescent="0.35">
      <c r="A23" s="117" t="s">
        <v>9697</v>
      </c>
      <c r="B23" s="91" t="s">
        <v>9881</v>
      </c>
      <c r="C23" s="91" t="s">
        <v>10278</v>
      </c>
      <c r="D23" s="92" t="s">
        <v>9689</v>
      </c>
      <c r="E23" s="93" t="s">
        <v>9703</v>
      </c>
      <c r="F23" s="94" t="s">
        <v>9687</v>
      </c>
      <c r="G23" s="94" t="s">
        <v>9719</v>
      </c>
      <c r="H23" s="94" t="s">
        <v>9634</v>
      </c>
      <c r="I23" s="27">
        <v>30</v>
      </c>
      <c r="J23" s="27">
        <v>30</v>
      </c>
      <c r="K23" s="27" t="s">
        <v>9780</v>
      </c>
      <c r="L23" s="27" t="s">
        <v>9780</v>
      </c>
      <c r="M23" s="27" t="s">
        <v>9780</v>
      </c>
      <c r="N23" s="94" t="str">
        <f t="shared" si="0"/>
        <v>Sim</v>
      </c>
      <c r="O23" s="15">
        <v>20</v>
      </c>
      <c r="P23" s="15">
        <v>80</v>
      </c>
    </row>
    <row r="24" spans="1:16" ht="17.25" customHeight="1" x14ac:dyDescent="0.35">
      <c r="A24" s="117"/>
      <c r="B24" s="91" t="s">
        <v>9881</v>
      </c>
      <c r="C24" s="91" t="s">
        <v>10278</v>
      </c>
      <c r="D24" s="92" t="s">
        <v>9690</v>
      </c>
      <c r="E24" s="93" t="s">
        <v>9704</v>
      </c>
      <c r="F24" s="94" t="s">
        <v>9687</v>
      </c>
      <c r="G24" s="94" t="s">
        <v>9719</v>
      </c>
      <c r="H24" s="94" t="s">
        <v>9962</v>
      </c>
      <c r="I24" s="27">
        <v>30</v>
      </c>
      <c r="J24" s="27">
        <v>30</v>
      </c>
      <c r="K24" s="94" t="s">
        <v>9951</v>
      </c>
      <c r="L24" s="15" t="s">
        <v>9949</v>
      </c>
      <c r="M24" s="15" t="s">
        <v>9820</v>
      </c>
      <c r="N24" s="94" t="str">
        <f t="shared" si="0"/>
        <v>Sim</v>
      </c>
      <c r="O24" s="15">
        <v>20</v>
      </c>
      <c r="P24" s="15">
        <v>35</v>
      </c>
    </row>
    <row r="25" spans="1:16" ht="17.25" customHeight="1" x14ac:dyDescent="0.35">
      <c r="A25" s="117"/>
      <c r="B25" s="91" t="s">
        <v>9881</v>
      </c>
      <c r="C25" s="91" t="s">
        <v>10278</v>
      </c>
      <c r="D25" s="92" t="s">
        <v>9691</v>
      </c>
      <c r="E25" s="93" t="s">
        <v>9705</v>
      </c>
      <c r="F25" s="94" t="s">
        <v>9687</v>
      </c>
      <c r="G25" s="94" t="s">
        <v>9719</v>
      </c>
      <c r="H25" s="94" t="s">
        <v>9634</v>
      </c>
      <c r="I25" s="27">
        <v>20</v>
      </c>
      <c r="J25" s="27">
        <v>20</v>
      </c>
      <c r="K25" s="94" t="s">
        <v>9951</v>
      </c>
      <c r="L25" s="15" t="s">
        <v>9949</v>
      </c>
      <c r="M25" s="15" t="s">
        <v>9821</v>
      </c>
      <c r="N25" s="94" t="str">
        <f t="shared" si="0"/>
        <v>Sim</v>
      </c>
      <c r="O25" s="15">
        <v>15</v>
      </c>
      <c r="P25" s="15">
        <v>40</v>
      </c>
    </row>
    <row r="26" spans="1:16" ht="17.25" customHeight="1" x14ac:dyDescent="0.35">
      <c r="A26" s="117"/>
      <c r="B26" s="91" t="s">
        <v>9881</v>
      </c>
      <c r="C26" s="91" t="s">
        <v>10278</v>
      </c>
      <c r="D26" s="96" t="s">
        <v>9945</v>
      </c>
      <c r="E26" s="93" t="s">
        <v>9963</v>
      </c>
      <c r="F26" s="94" t="s">
        <v>9687</v>
      </c>
      <c r="G26" s="94" t="s">
        <v>9719</v>
      </c>
      <c r="H26" s="94" t="s">
        <v>9947</v>
      </c>
      <c r="I26" s="27">
        <v>100</v>
      </c>
      <c r="J26" s="27">
        <v>100</v>
      </c>
      <c r="K26" s="27" t="s">
        <v>9951</v>
      </c>
      <c r="L26" s="15" t="s">
        <v>9949</v>
      </c>
      <c r="M26" s="15" t="s">
        <v>9950</v>
      </c>
      <c r="N26" s="94" t="str">
        <f t="shared" si="0"/>
        <v>Sim</v>
      </c>
      <c r="O26" s="15">
        <v>75</v>
      </c>
      <c r="P26" s="15">
        <v>300</v>
      </c>
    </row>
    <row r="27" spans="1:16" ht="17.25" customHeight="1" x14ac:dyDescent="0.35">
      <c r="A27" s="117"/>
      <c r="B27" s="91" t="s">
        <v>9881</v>
      </c>
      <c r="C27" s="91" t="s">
        <v>10278</v>
      </c>
      <c r="D27" s="96" t="s">
        <v>9964</v>
      </c>
      <c r="E27" s="93" t="s">
        <v>9967</v>
      </c>
      <c r="F27" s="94" t="s">
        <v>9687</v>
      </c>
      <c r="G27" s="94" t="s">
        <v>9719</v>
      </c>
      <c r="H27" s="94" t="s">
        <v>9948</v>
      </c>
      <c r="I27" s="27">
        <v>200</v>
      </c>
      <c r="J27" s="27">
        <v>200</v>
      </c>
      <c r="K27" s="27" t="s">
        <v>9968</v>
      </c>
      <c r="L27" s="15" t="s">
        <v>10510</v>
      </c>
      <c r="M27" s="15" t="s">
        <v>9839</v>
      </c>
      <c r="N27" s="94" t="str">
        <f t="shared" si="0"/>
        <v>Sim</v>
      </c>
      <c r="O27" s="15">
        <v>100</v>
      </c>
      <c r="P27" s="15">
        <v>1000</v>
      </c>
    </row>
    <row r="28" spans="1:16" ht="17.25" customHeight="1" x14ac:dyDescent="0.35">
      <c r="A28" s="117"/>
      <c r="B28" s="91" t="s">
        <v>9881</v>
      </c>
      <c r="C28" s="91" t="s">
        <v>10278</v>
      </c>
      <c r="D28" s="96" t="s">
        <v>9946</v>
      </c>
      <c r="E28" s="93" t="s">
        <v>9966</v>
      </c>
      <c r="F28" s="94" t="s">
        <v>9687</v>
      </c>
      <c r="G28" s="94" t="s">
        <v>9719</v>
      </c>
      <c r="H28" s="94" t="s">
        <v>9634</v>
      </c>
      <c r="I28" s="27">
        <v>2.5</v>
      </c>
      <c r="J28" s="27">
        <v>2.5</v>
      </c>
      <c r="K28" s="15" t="s">
        <v>9780</v>
      </c>
      <c r="L28" s="15" t="s">
        <v>9780</v>
      </c>
      <c r="M28" s="15" t="s">
        <v>9780</v>
      </c>
      <c r="N28" s="94" t="str">
        <f t="shared" si="0"/>
        <v>Sim</v>
      </c>
      <c r="O28" s="15">
        <v>0</v>
      </c>
      <c r="P28" s="15">
        <v>5</v>
      </c>
    </row>
    <row r="29" spans="1:16" s="18" customFormat="1" ht="17.25" customHeight="1" x14ac:dyDescent="0.35">
      <c r="A29" s="117"/>
      <c r="B29" s="91" t="s">
        <v>9881</v>
      </c>
      <c r="C29" s="91" t="s">
        <v>10278</v>
      </c>
      <c r="D29" s="92" t="s">
        <v>9692</v>
      </c>
      <c r="E29" s="93" t="s">
        <v>9809</v>
      </c>
      <c r="F29" s="94" t="s">
        <v>9687</v>
      </c>
      <c r="G29" s="94" t="s">
        <v>9719</v>
      </c>
      <c r="H29" s="94" t="s">
        <v>9698</v>
      </c>
      <c r="I29" s="27">
        <v>300</v>
      </c>
      <c r="J29" s="27">
        <v>300</v>
      </c>
      <c r="K29" s="94" t="s">
        <v>9951</v>
      </c>
      <c r="L29" s="15" t="s">
        <v>9949</v>
      </c>
      <c r="M29" s="15" t="s">
        <v>9822</v>
      </c>
      <c r="N29" s="94" t="str">
        <f t="shared" si="0"/>
        <v>Sim</v>
      </c>
      <c r="O29" s="15">
        <v>200</v>
      </c>
      <c r="P29" s="15">
        <v>1000</v>
      </c>
    </row>
    <row r="30" spans="1:16" ht="17.25" customHeight="1" x14ac:dyDescent="0.35">
      <c r="A30" s="117"/>
      <c r="B30" s="91" t="s">
        <v>9881</v>
      </c>
      <c r="C30" s="91" t="s">
        <v>10278</v>
      </c>
      <c r="D30" s="92" t="s">
        <v>9693</v>
      </c>
      <c r="E30" s="97" t="s">
        <v>9706</v>
      </c>
      <c r="F30" s="94" t="s">
        <v>9687</v>
      </c>
      <c r="G30" s="94" t="s">
        <v>9720</v>
      </c>
      <c r="H30" s="94" t="s">
        <v>9634</v>
      </c>
      <c r="I30" s="45">
        <f>IFERROR(((I29-I27)+((I23/100)-(I28/100))*I26)/I29*100,"")</f>
        <v>42.5</v>
      </c>
      <c r="J30" s="27">
        <f>(((J29-J27)+((J23/100)-(J28/100))*J26)/J29)*100</f>
        <v>42.5</v>
      </c>
      <c r="K30" s="94" t="s">
        <v>9780</v>
      </c>
      <c r="L30" s="15" t="s">
        <v>9780</v>
      </c>
      <c r="M30" s="15" t="s">
        <v>9780</v>
      </c>
      <c r="N30" s="94" t="str">
        <f t="shared" si="0"/>
        <v>Sim</v>
      </c>
      <c r="O30" s="15">
        <v>0</v>
      </c>
      <c r="P30" s="15">
        <v>100</v>
      </c>
    </row>
    <row r="31" spans="1:16" ht="17.25" customHeight="1" x14ac:dyDescent="0.35">
      <c r="A31" s="117" t="s">
        <v>9711</v>
      </c>
      <c r="B31" s="91" t="s">
        <v>9965</v>
      </c>
      <c r="C31" s="91" t="s">
        <v>10283</v>
      </c>
      <c r="D31" s="92" t="s">
        <v>10300</v>
      </c>
      <c r="E31" s="93" t="s">
        <v>9669</v>
      </c>
      <c r="F31" s="94" t="s">
        <v>9687</v>
      </c>
      <c r="G31" s="94" t="s">
        <v>9719</v>
      </c>
      <c r="H31" s="94" t="s">
        <v>9782</v>
      </c>
      <c r="I31" s="95">
        <v>1.24</v>
      </c>
      <c r="J31" s="95">
        <v>1.24</v>
      </c>
      <c r="K31" s="94" t="s">
        <v>9951</v>
      </c>
      <c r="L31" s="15" t="s">
        <v>9949</v>
      </c>
      <c r="M31" s="15" t="s">
        <v>9713</v>
      </c>
      <c r="N31" s="94" t="str">
        <f t="shared" si="0"/>
        <v>Sim</v>
      </c>
      <c r="O31" s="15">
        <v>0.5</v>
      </c>
      <c r="P31" s="15">
        <v>2.5</v>
      </c>
    </row>
    <row r="32" spans="1:16" ht="17.25" customHeight="1" x14ac:dyDescent="0.35">
      <c r="A32" s="117"/>
      <c r="B32" s="91" t="s">
        <v>9965</v>
      </c>
      <c r="C32" s="91" t="s">
        <v>10283</v>
      </c>
      <c r="D32" s="92" t="s">
        <v>9811</v>
      </c>
      <c r="E32" s="93" t="s">
        <v>9670</v>
      </c>
      <c r="F32" s="94" t="s">
        <v>9687</v>
      </c>
      <c r="G32" s="94" t="s">
        <v>9719</v>
      </c>
      <c r="H32" s="94" t="s">
        <v>9634</v>
      </c>
      <c r="I32" s="95">
        <v>30</v>
      </c>
      <c r="J32" s="95">
        <v>30</v>
      </c>
      <c r="K32" s="94" t="s">
        <v>9951</v>
      </c>
      <c r="L32" s="15" t="s">
        <v>9949</v>
      </c>
      <c r="M32" s="15" t="s">
        <v>9715</v>
      </c>
      <c r="N32" s="94" t="str">
        <f t="shared" si="0"/>
        <v>Sim</v>
      </c>
      <c r="O32" s="15">
        <v>0</v>
      </c>
      <c r="P32" s="15">
        <v>100</v>
      </c>
    </row>
    <row r="33" spans="1:16" ht="17.25" customHeight="1" x14ac:dyDescent="0.35">
      <c r="A33" s="117"/>
      <c r="B33" s="91" t="s">
        <v>9965</v>
      </c>
      <c r="C33" s="91" t="s">
        <v>10283</v>
      </c>
      <c r="D33" s="92" t="s">
        <v>10451</v>
      </c>
      <c r="E33" s="93" t="s">
        <v>10453</v>
      </c>
      <c r="F33" s="94" t="s">
        <v>9687</v>
      </c>
      <c r="G33" s="94" t="s">
        <v>9719</v>
      </c>
      <c r="H33" s="94" t="s">
        <v>10458</v>
      </c>
      <c r="I33" s="95">
        <v>150</v>
      </c>
      <c r="J33" s="95">
        <v>150</v>
      </c>
      <c r="K33" s="15" t="s">
        <v>9780</v>
      </c>
      <c r="L33" s="15" t="s">
        <v>9780</v>
      </c>
      <c r="M33" s="15" t="s">
        <v>9780</v>
      </c>
      <c r="N33" s="94" t="str">
        <f t="shared" si="0"/>
        <v>Sim</v>
      </c>
      <c r="O33" s="15">
        <v>0</v>
      </c>
      <c r="P33" s="15">
        <v>500</v>
      </c>
    </row>
    <row r="34" spans="1:16" ht="17.25" customHeight="1" x14ac:dyDescent="0.35">
      <c r="A34" s="117"/>
      <c r="B34" s="91" t="s">
        <v>9965</v>
      </c>
      <c r="C34" s="91" t="s">
        <v>10283</v>
      </c>
      <c r="D34" s="92" t="s">
        <v>10452</v>
      </c>
      <c r="E34" s="93" t="s">
        <v>10454</v>
      </c>
      <c r="F34" s="94" t="s">
        <v>9687</v>
      </c>
      <c r="G34" s="94" t="s">
        <v>9719</v>
      </c>
      <c r="H34" s="94" t="s">
        <v>10458</v>
      </c>
      <c r="I34" s="95">
        <v>25</v>
      </c>
      <c r="J34" s="95">
        <v>25</v>
      </c>
      <c r="K34" s="15" t="s">
        <v>9780</v>
      </c>
      <c r="L34" s="15" t="s">
        <v>9780</v>
      </c>
      <c r="M34" s="15" t="s">
        <v>9780</v>
      </c>
      <c r="N34" s="94" t="str">
        <f t="shared" si="0"/>
        <v>Sim</v>
      </c>
      <c r="O34" s="15">
        <v>0</v>
      </c>
      <c r="P34" s="15">
        <v>250</v>
      </c>
    </row>
    <row r="35" spans="1:16" ht="17.25" customHeight="1" x14ac:dyDescent="0.35">
      <c r="A35" s="117"/>
      <c r="B35" s="91" t="s">
        <v>9965</v>
      </c>
      <c r="C35" s="91" t="s">
        <v>10314</v>
      </c>
      <c r="D35" s="92" t="s">
        <v>10315</v>
      </c>
      <c r="E35" s="93" t="s">
        <v>10316</v>
      </c>
      <c r="F35" s="94" t="s">
        <v>9642</v>
      </c>
      <c r="G35" s="94" t="s">
        <v>9719</v>
      </c>
      <c r="H35" s="94" t="s">
        <v>9688</v>
      </c>
      <c r="I35" s="15" t="s">
        <v>9720</v>
      </c>
      <c r="J35" s="15" t="s">
        <v>9719</v>
      </c>
      <c r="K35" s="15" t="s">
        <v>9780</v>
      </c>
      <c r="L35" s="15" t="s">
        <v>9780</v>
      </c>
      <c r="M35" s="15" t="s">
        <v>9780</v>
      </c>
      <c r="N35" s="94" t="str">
        <f t="shared" si="0"/>
        <v>Sim</v>
      </c>
      <c r="O35" s="15" t="s">
        <v>9780</v>
      </c>
      <c r="P35" s="15" t="s">
        <v>9780</v>
      </c>
    </row>
    <row r="36" spans="1:16" ht="17.25" customHeight="1" x14ac:dyDescent="0.35">
      <c r="A36" s="117"/>
      <c r="B36" s="91" t="s">
        <v>10317</v>
      </c>
      <c r="C36" s="91" t="s">
        <v>10314</v>
      </c>
      <c r="D36" s="92" t="s">
        <v>10318</v>
      </c>
      <c r="E36" s="93" t="s">
        <v>10319</v>
      </c>
      <c r="F36" s="94" t="s">
        <v>9642</v>
      </c>
      <c r="G36" s="94" t="s">
        <v>9719</v>
      </c>
      <c r="H36" s="94" t="s">
        <v>9688</v>
      </c>
      <c r="I36" s="15" t="s">
        <v>9720</v>
      </c>
      <c r="J36" s="15" t="s">
        <v>9719</v>
      </c>
      <c r="K36" s="15" t="s">
        <v>9780</v>
      </c>
      <c r="L36" s="15" t="s">
        <v>9780</v>
      </c>
      <c r="M36" s="15" t="s">
        <v>9780</v>
      </c>
      <c r="N36" s="94" t="str">
        <f t="shared" si="0"/>
        <v>Sim</v>
      </c>
      <c r="O36" s="15" t="s">
        <v>9780</v>
      </c>
      <c r="P36" s="15" t="s">
        <v>9780</v>
      </c>
    </row>
    <row r="37" spans="1:16" ht="17.25" customHeight="1" x14ac:dyDescent="0.35">
      <c r="A37" s="117" t="s">
        <v>9956</v>
      </c>
      <c r="B37" s="15" t="s">
        <v>9965</v>
      </c>
      <c r="C37" s="15" t="s">
        <v>10279</v>
      </c>
      <c r="D37" s="96" t="s">
        <v>9957</v>
      </c>
      <c r="E37" s="22" t="s">
        <v>9959</v>
      </c>
      <c r="F37" s="15" t="s">
        <v>9687</v>
      </c>
      <c r="G37" s="15" t="s">
        <v>9719</v>
      </c>
      <c r="H37" s="15" t="s">
        <v>9961</v>
      </c>
      <c r="I37" s="15">
        <v>10</v>
      </c>
      <c r="J37" s="15">
        <v>10</v>
      </c>
      <c r="K37" s="15" t="s">
        <v>9780</v>
      </c>
      <c r="L37" s="15" t="s">
        <v>9780</v>
      </c>
      <c r="M37" s="15" t="s">
        <v>9780</v>
      </c>
      <c r="N37" s="94" t="str">
        <f t="shared" si="0"/>
        <v>Sim</v>
      </c>
      <c r="O37" s="15">
        <v>1</v>
      </c>
      <c r="P37" s="15">
        <v>13</v>
      </c>
    </row>
    <row r="38" spans="1:16" ht="17.25" customHeight="1" x14ac:dyDescent="0.35">
      <c r="A38" s="117"/>
      <c r="B38" s="15" t="s">
        <v>9965</v>
      </c>
      <c r="C38" s="15" t="s">
        <v>10279</v>
      </c>
      <c r="D38" s="96" t="s">
        <v>9958</v>
      </c>
      <c r="E38" s="22" t="s">
        <v>9960</v>
      </c>
      <c r="F38" s="15" t="s">
        <v>9687</v>
      </c>
      <c r="G38" s="15" t="s">
        <v>9719</v>
      </c>
      <c r="H38" s="15" t="s">
        <v>9783</v>
      </c>
      <c r="I38" s="15">
        <v>0</v>
      </c>
      <c r="J38" s="15">
        <v>0</v>
      </c>
      <c r="K38" s="15" t="s">
        <v>9780</v>
      </c>
      <c r="L38" s="15" t="s">
        <v>9780</v>
      </c>
      <c r="M38" s="15" t="s">
        <v>9780</v>
      </c>
      <c r="N38" s="94" t="str">
        <f t="shared" si="0"/>
        <v>Sim</v>
      </c>
      <c r="O38" s="15">
        <v>0</v>
      </c>
      <c r="P38" s="15">
        <v>500</v>
      </c>
    </row>
    <row r="39" spans="1:16" ht="17.25" customHeight="1" x14ac:dyDescent="0.35">
      <c r="A39" s="117"/>
      <c r="B39" s="91" t="s">
        <v>9965</v>
      </c>
      <c r="C39" s="91" t="s">
        <v>10279</v>
      </c>
      <c r="D39" s="96" t="s">
        <v>9953</v>
      </c>
      <c r="E39" s="22" t="s">
        <v>9954</v>
      </c>
      <c r="F39" s="15" t="s">
        <v>9642</v>
      </c>
      <c r="G39" s="15" t="s">
        <v>9719</v>
      </c>
      <c r="H39" s="15" t="s">
        <v>9955</v>
      </c>
      <c r="I39" s="15" t="s">
        <v>10569</v>
      </c>
      <c r="J39" s="15" t="s">
        <v>9780</v>
      </c>
      <c r="K39" s="15" t="s">
        <v>9780</v>
      </c>
      <c r="L39" s="15" t="s">
        <v>9780</v>
      </c>
      <c r="M39" s="15" t="s">
        <v>9780</v>
      </c>
      <c r="N39" s="94" t="str">
        <f t="shared" si="0"/>
        <v>Sim</v>
      </c>
      <c r="O39" s="15" t="s">
        <v>9780</v>
      </c>
      <c r="P39" s="15" t="s">
        <v>9780</v>
      </c>
    </row>
    <row r="40" spans="1:16" ht="17.25" customHeight="1" x14ac:dyDescent="0.35">
      <c r="A40" s="117"/>
      <c r="B40" s="91" t="s">
        <v>9965</v>
      </c>
      <c r="C40" s="91" t="s">
        <v>10314</v>
      </c>
      <c r="D40" s="96" t="s">
        <v>10296</v>
      </c>
      <c r="E40" s="22" t="s">
        <v>10297</v>
      </c>
      <c r="F40" s="15" t="s">
        <v>9642</v>
      </c>
      <c r="G40" s="15" t="s">
        <v>9719</v>
      </c>
      <c r="H40" s="15" t="s">
        <v>9688</v>
      </c>
      <c r="I40" s="15" t="s">
        <v>9720</v>
      </c>
      <c r="J40" s="15" t="s">
        <v>9719</v>
      </c>
      <c r="K40" s="15" t="s">
        <v>9780</v>
      </c>
      <c r="L40" s="15" t="s">
        <v>9780</v>
      </c>
      <c r="M40" s="15" t="s">
        <v>9780</v>
      </c>
      <c r="N40" s="94" t="str">
        <f t="shared" si="0"/>
        <v>Sim</v>
      </c>
      <c r="O40" s="15" t="s">
        <v>9780</v>
      </c>
      <c r="P40" s="15" t="s">
        <v>9780</v>
      </c>
    </row>
    <row r="41" spans="1:16" ht="17.25" customHeight="1" x14ac:dyDescent="0.4">
      <c r="A41" s="117" t="s">
        <v>10002</v>
      </c>
      <c r="B41" s="91" t="s">
        <v>9865</v>
      </c>
      <c r="C41" s="91" t="s">
        <v>10286</v>
      </c>
      <c r="D41" s="96" t="s">
        <v>10003</v>
      </c>
      <c r="E41" s="22" t="s">
        <v>10009</v>
      </c>
      <c r="F41" s="15" t="s">
        <v>9687</v>
      </c>
      <c r="G41" s="15" t="s">
        <v>9719</v>
      </c>
      <c r="H41" s="15" t="s">
        <v>10163</v>
      </c>
      <c r="I41" s="15">
        <v>100</v>
      </c>
      <c r="J41" s="15">
        <v>100</v>
      </c>
      <c r="K41" s="94" t="s">
        <v>9951</v>
      </c>
      <c r="L41" s="98" t="s">
        <v>10005</v>
      </c>
      <c r="M41" s="98" t="s">
        <v>10006</v>
      </c>
      <c r="N41" s="94" t="str">
        <f t="shared" si="0"/>
        <v>Sim</v>
      </c>
      <c r="O41" s="15">
        <v>20</v>
      </c>
      <c r="P41" s="15">
        <v>100</v>
      </c>
    </row>
    <row r="42" spans="1:16" ht="17.25" customHeight="1" x14ac:dyDescent="0.4">
      <c r="A42" s="117"/>
      <c r="B42" s="91" t="s">
        <v>9865</v>
      </c>
      <c r="C42" s="91" t="s">
        <v>10286</v>
      </c>
      <c r="D42" s="96" t="s">
        <v>10004</v>
      </c>
      <c r="E42" s="22" t="s">
        <v>10008</v>
      </c>
      <c r="F42" s="15" t="s">
        <v>9687</v>
      </c>
      <c r="G42" s="15" t="s">
        <v>9719</v>
      </c>
      <c r="H42" s="15" t="s">
        <v>10163</v>
      </c>
      <c r="I42" s="15">
        <v>25</v>
      </c>
      <c r="J42" s="15">
        <v>25</v>
      </c>
      <c r="K42" s="94" t="s">
        <v>9951</v>
      </c>
      <c r="L42" s="98" t="s">
        <v>10164</v>
      </c>
      <c r="M42" s="98" t="s">
        <v>10007</v>
      </c>
      <c r="N42" s="94" t="str">
        <f t="shared" si="0"/>
        <v>Sim</v>
      </c>
      <c r="O42" s="15">
        <v>5</v>
      </c>
      <c r="P42" s="15">
        <v>50</v>
      </c>
    </row>
    <row r="43" spans="1:16" ht="17.25" customHeight="1" x14ac:dyDescent="0.35">
      <c r="A43" s="117" t="s">
        <v>9732</v>
      </c>
      <c r="B43" s="91" t="s">
        <v>9865</v>
      </c>
      <c r="C43" s="91" t="s">
        <v>10280</v>
      </c>
      <c r="D43" s="96" t="s">
        <v>9722</v>
      </c>
      <c r="E43" s="97" t="s">
        <v>9996</v>
      </c>
      <c r="F43" s="94" t="s">
        <v>9687</v>
      </c>
      <c r="G43" s="94" t="s">
        <v>9719</v>
      </c>
      <c r="H43" s="15" t="s">
        <v>9733</v>
      </c>
      <c r="I43" s="27">
        <v>6</v>
      </c>
      <c r="J43" s="27">
        <v>6</v>
      </c>
      <c r="K43" s="94" t="s">
        <v>9951</v>
      </c>
      <c r="L43" s="15" t="s">
        <v>9949</v>
      </c>
      <c r="M43" s="15" t="s">
        <v>9736</v>
      </c>
      <c r="N43" s="94" t="str">
        <f t="shared" si="0"/>
        <v>Sim</v>
      </c>
      <c r="O43" s="15">
        <v>1</v>
      </c>
      <c r="P43" s="15">
        <v>10</v>
      </c>
    </row>
    <row r="44" spans="1:16" ht="17.25" customHeight="1" x14ac:dyDescent="0.35">
      <c r="A44" s="117"/>
      <c r="B44" s="91" t="s">
        <v>9865</v>
      </c>
      <c r="C44" s="91" t="s">
        <v>10280</v>
      </c>
      <c r="D44" s="96" t="s">
        <v>9723</v>
      </c>
      <c r="E44" s="97" t="s">
        <v>9997</v>
      </c>
      <c r="F44" s="94" t="s">
        <v>9687</v>
      </c>
      <c r="G44" s="94" t="s">
        <v>9719</v>
      </c>
      <c r="H44" s="15" t="s">
        <v>10122</v>
      </c>
      <c r="I44" s="27">
        <v>5.5</v>
      </c>
      <c r="J44" s="27">
        <v>5.5</v>
      </c>
      <c r="K44" s="94" t="s">
        <v>9951</v>
      </c>
      <c r="L44" s="15" t="s">
        <v>9949</v>
      </c>
      <c r="M44" s="15" t="s">
        <v>9737</v>
      </c>
      <c r="N44" s="94" t="str">
        <f t="shared" si="0"/>
        <v>Sim</v>
      </c>
      <c r="O44" s="15">
        <v>1</v>
      </c>
      <c r="P44" s="15">
        <v>10</v>
      </c>
    </row>
    <row r="45" spans="1:16" ht="17.25" customHeight="1" x14ac:dyDescent="0.35">
      <c r="A45" s="117"/>
      <c r="B45" s="91" t="s">
        <v>9865</v>
      </c>
      <c r="C45" s="91" t="s">
        <v>10280</v>
      </c>
      <c r="D45" s="96" t="s">
        <v>9724</v>
      </c>
      <c r="E45" s="97" t="s">
        <v>10134</v>
      </c>
      <c r="F45" s="94" t="s">
        <v>9687</v>
      </c>
      <c r="G45" s="94" t="s">
        <v>9719</v>
      </c>
      <c r="H45" s="15" t="s">
        <v>9634</v>
      </c>
      <c r="I45" s="27">
        <v>40</v>
      </c>
      <c r="J45" s="27">
        <v>40</v>
      </c>
      <c r="K45" s="94" t="s">
        <v>9951</v>
      </c>
      <c r="L45" s="15" t="s">
        <v>9949</v>
      </c>
      <c r="M45" s="15" t="s">
        <v>9738</v>
      </c>
      <c r="N45" s="94" t="str">
        <f t="shared" si="0"/>
        <v>Sim</v>
      </c>
      <c r="O45" s="15">
        <v>10</v>
      </c>
      <c r="P45" s="15">
        <v>60</v>
      </c>
    </row>
    <row r="46" spans="1:16" s="18" customFormat="1" ht="17.25" customHeight="1" x14ac:dyDescent="0.35">
      <c r="A46" s="117"/>
      <c r="B46" s="91" t="s">
        <v>9865</v>
      </c>
      <c r="C46" s="91" t="s">
        <v>10280</v>
      </c>
      <c r="D46" s="96" t="s">
        <v>9725</v>
      </c>
      <c r="E46" s="97" t="s">
        <v>9999</v>
      </c>
      <c r="F46" s="94" t="s">
        <v>9687</v>
      </c>
      <c r="G46" s="94" t="s">
        <v>9719</v>
      </c>
      <c r="H46" s="15" t="s">
        <v>9734</v>
      </c>
      <c r="I46" s="27">
        <v>0</v>
      </c>
      <c r="J46" s="27">
        <v>0</v>
      </c>
      <c r="K46" s="94" t="s">
        <v>9951</v>
      </c>
      <c r="L46" s="15" t="s">
        <v>9949</v>
      </c>
      <c r="M46" s="15" t="s">
        <v>9739</v>
      </c>
      <c r="N46" s="94" t="str">
        <f t="shared" si="0"/>
        <v>Sim</v>
      </c>
      <c r="O46" s="15">
        <v>0</v>
      </c>
      <c r="P46" s="15">
        <v>1000</v>
      </c>
    </row>
    <row r="47" spans="1:16" ht="17.25" customHeight="1" x14ac:dyDescent="0.35">
      <c r="A47" s="117"/>
      <c r="B47" s="91" t="s">
        <v>9865</v>
      </c>
      <c r="C47" s="91" t="s">
        <v>10280</v>
      </c>
      <c r="D47" s="96" t="s">
        <v>9726</v>
      </c>
      <c r="E47" s="97" t="s">
        <v>10000</v>
      </c>
      <c r="F47" s="94" t="s">
        <v>9687</v>
      </c>
      <c r="G47" s="94" t="s">
        <v>9719</v>
      </c>
      <c r="H47" s="15" t="s">
        <v>9734</v>
      </c>
      <c r="I47" s="27">
        <v>25</v>
      </c>
      <c r="J47" s="27">
        <v>25</v>
      </c>
      <c r="K47" s="94" t="s">
        <v>9951</v>
      </c>
      <c r="L47" s="15" t="s">
        <v>9949</v>
      </c>
      <c r="M47" s="15" t="s">
        <v>9713</v>
      </c>
      <c r="N47" s="94" t="str">
        <f t="shared" si="0"/>
        <v>Sim</v>
      </c>
      <c r="O47" s="15">
        <v>0</v>
      </c>
      <c r="P47" s="15">
        <v>100</v>
      </c>
    </row>
    <row r="48" spans="1:16" ht="17.25" customHeight="1" x14ac:dyDescent="0.35">
      <c r="A48" s="117"/>
      <c r="B48" s="91" t="s">
        <v>9865</v>
      </c>
      <c r="C48" s="91" t="s">
        <v>10280</v>
      </c>
      <c r="D48" s="96" t="s">
        <v>9727</v>
      </c>
      <c r="E48" s="97" t="s">
        <v>10001</v>
      </c>
      <c r="F48" s="94" t="s">
        <v>9687</v>
      </c>
      <c r="G48" s="94" t="s">
        <v>9719</v>
      </c>
      <c r="H48" s="15" t="s">
        <v>9734</v>
      </c>
      <c r="I48" s="27">
        <v>500</v>
      </c>
      <c r="J48" s="27">
        <v>500</v>
      </c>
      <c r="K48" s="94" t="s">
        <v>9951</v>
      </c>
      <c r="L48" s="15" t="s">
        <v>9949</v>
      </c>
      <c r="M48" s="15" t="s">
        <v>9714</v>
      </c>
      <c r="N48" s="94" t="str">
        <f t="shared" si="0"/>
        <v>Sim</v>
      </c>
      <c r="O48" s="15">
        <v>0</v>
      </c>
      <c r="P48" s="15">
        <v>5000</v>
      </c>
    </row>
    <row r="49" spans="1:16" ht="17.25" customHeight="1" x14ac:dyDescent="0.35">
      <c r="A49" s="117"/>
      <c r="B49" s="91" t="s">
        <v>9865</v>
      </c>
      <c r="C49" s="91" t="s">
        <v>10280</v>
      </c>
      <c r="D49" s="96" t="s">
        <v>9728</v>
      </c>
      <c r="E49" s="97" t="s">
        <v>10117</v>
      </c>
      <c r="F49" s="94" t="s">
        <v>9687</v>
      </c>
      <c r="G49" s="94" t="s">
        <v>9719</v>
      </c>
      <c r="H49" s="15" t="s">
        <v>9634</v>
      </c>
      <c r="I49" s="27">
        <v>65</v>
      </c>
      <c r="J49" s="27">
        <v>65</v>
      </c>
      <c r="K49" s="94" t="s">
        <v>9951</v>
      </c>
      <c r="L49" s="15" t="s">
        <v>9949</v>
      </c>
      <c r="M49" s="15" t="s">
        <v>9715</v>
      </c>
      <c r="N49" s="94" t="str">
        <f t="shared" si="0"/>
        <v>Sim</v>
      </c>
      <c r="O49" s="15">
        <v>25</v>
      </c>
      <c r="P49" s="15">
        <v>100</v>
      </c>
    </row>
    <row r="50" spans="1:16" ht="17.25" customHeight="1" x14ac:dyDescent="0.35">
      <c r="A50" s="117"/>
      <c r="B50" s="91" t="s">
        <v>9865</v>
      </c>
      <c r="C50" s="91" t="s">
        <v>10280</v>
      </c>
      <c r="D50" s="96" t="s">
        <v>9729</v>
      </c>
      <c r="E50" s="97" t="s">
        <v>10118</v>
      </c>
      <c r="F50" s="94" t="s">
        <v>9687</v>
      </c>
      <c r="G50" s="94" t="s">
        <v>9719</v>
      </c>
      <c r="H50" s="15" t="s">
        <v>9735</v>
      </c>
      <c r="I50" s="27">
        <v>5000</v>
      </c>
      <c r="J50" s="27">
        <v>5000</v>
      </c>
      <c r="K50" s="94" t="s">
        <v>9951</v>
      </c>
      <c r="L50" s="15" t="s">
        <v>9949</v>
      </c>
      <c r="M50" s="15" t="s">
        <v>9740</v>
      </c>
      <c r="N50" s="94" t="str">
        <f t="shared" si="0"/>
        <v>Sim</v>
      </c>
      <c r="O50" s="15">
        <v>3000</v>
      </c>
      <c r="P50" s="15">
        <v>10000</v>
      </c>
    </row>
    <row r="51" spans="1:16" ht="17.25" customHeight="1" x14ac:dyDescent="0.35">
      <c r="A51" s="117"/>
      <c r="B51" s="91" t="s">
        <v>9865</v>
      </c>
      <c r="C51" s="91" t="s">
        <v>10280</v>
      </c>
      <c r="D51" s="96" t="s">
        <v>9730</v>
      </c>
      <c r="E51" s="97" t="s">
        <v>10119</v>
      </c>
      <c r="F51" s="94" t="s">
        <v>9687</v>
      </c>
      <c r="G51" s="94" t="s">
        <v>9719</v>
      </c>
      <c r="H51" s="15" t="s">
        <v>9734</v>
      </c>
      <c r="I51" s="27">
        <v>1500</v>
      </c>
      <c r="J51" s="27">
        <v>1500</v>
      </c>
      <c r="K51" s="94" t="s">
        <v>9951</v>
      </c>
      <c r="L51" s="15" t="s">
        <v>9949</v>
      </c>
      <c r="M51" s="15" t="s">
        <v>9741</v>
      </c>
      <c r="N51" s="94" t="str">
        <f t="shared" si="0"/>
        <v>Sim</v>
      </c>
      <c r="O51" s="15">
        <v>1000</v>
      </c>
      <c r="P51" s="15">
        <v>5000</v>
      </c>
    </row>
    <row r="52" spans="1:16" ht="17.25" customHeight="1" x14ac:dyDescent="0.35">
      <c r="A52" s="117"/>
      <c r="B52" s="91" t="s">
        <v>9865</v>
      </c>
      <c r="C52" s="91" t="s">
        <v>10280</v>
      </c>
      <c r="D52" s="96" t="s">
        <v>9731</v>
      </c>
      <c r="E52" s="97" t="s">
        <v>9998</v>
      </c>
      <c r="F52" s="94" t="s">
        <v>9687</v>
      </c>
      <c r="G52" s="94" t="s">
        <v>9719</v>
      </c>
      <c r="H52" s="15" t="s">
        <v>9634</v>
      </c>
      <c r="I52" s="27">
        <v>0</v>
      </c>
      <c r="J52" s="27">
        <v>0</v>
      </c>
      <c r="K52" s="94" t="s">
        <v>9951</v>
      </c>
      <c r="L52" s="15" t="s">
        <v>9949</v>
      </c>
      <c r="M52" s="15" t="s">
        <v>9742</v>
      </c>
      <c r="N52" s="94" t="str">
        <f t="shared" si="0"/>
        <v>Sim</v>
      </c>
      <c r="O52" s="15">
        <v>0</v>
      </c>
      <c r="P52" s="15">
        <v>100</v>
      </c>
    </row>
    <row r="53" spans="1:16" ht="17.25" customHeight="1" x14ac:dyDescent="0.35">
      <c r="A53" s="117"/>
      <c r="B53" s="91" t="s">
        <v>9865</v>
      </c>
      <c r="C53" s="91" t="s">
        <v>10280</v>
      </c>
      <c r="D53" s="96" t="s">
        <v>10301</v>
      </c>
      <c r="E53" s="97" t="s">
        <v>10120</v>
      </c>
      <c r="F53" s="94" t="s">
        <v>9687</v>
      </c>
      <c r="G53" s="94" t="s">
        <v>9719</v>
      </c>
      <c r="H53" s="15" t="s">
        <v>9634</v>
      </c>
      <c r="I53" s="27">
        <v>25</v>
      </c>
      <c r="J53" s="27">
        <v>25</v>
      </c>
      <c r="K53" s="94" t="s">
        <v>9951</v>
      </c>
      <c r="L53" s="15" t="s">
        <v>9949</v>
      </c>
      <c r="M53" s="15" t="s">
        <v>9743</v>
      </c>
      <c r="N53" s="94" t="str">
        <f t="shared" si="0"/>
        <v>Sim</v>
      </c>
      <c r="O53" s="15">
        <v>0</v>
      </c>
      <c r="P53" s="15">
        <v>50</v>
      </c>
    </row>
    <row r="54" spans="1:16" ht="17.25" customHeight="1" x14ac:dyDescent="0.35">
      <c r="A54" s="117"/>
      <c r="B54" s="91" t="s">
        <v>9865</v>
      </c>
      <c r="C54" s="91" t="s">
        <v>10280</v>
      </c>
      <c r="D54" s="96" t="s">
        <v>10302</v>
      </c>
      <c r="E54" s="97" t="s">
        <v>10121</v>
      </c>
      <c r="F54" s="94" t="s">
        <v>9687</v>
      </c>
      <c r="G54" s="94" t="s">
        <v>9719</v>
      </c>
      <c r="H54" s="15" t="s">
        <v>9634</v>
      </c>
      <c r="I54" s="27">
        <v>0</v>
      </c>
      <c r="J54" s="27">
        <v>0</v>
      </c>
      <c r="K54" s="94" t="s">
        <v>9951</v>
      </c>
      <c r="L54" s="15" t="s">
        <v>9949</v>
      </c>
      <c r="M54" s="15" t="s">
        <v>9744</v>
      </c>
      <c r="N54" s="94" t="str">
        <f t="shared" si="0"/>
        <v>Sim</v>
      </c>
      <c r="O54" s="15">
        <v>0</v>
      </c>
      <c r="P54" s="15">
        <v>25</v>
      </c>
    </row>
    <row r="55" spans="1:16" ht="17.25" customHeight="1" x14ac:dyDescent="0.35">
      <c r="A55" s="117"/>
      <c r="B55" s="91" t="s">
        <v>9865</v>
      </c>
      <c r="C55" s="91" t="s">
        <v>10280</v>
      </c>
      <c r="D55" s="96" t="s">
        <v>10303</v>
      </c>
      <c r="E55" s="97" t="s">
        <v>10125</v>
      </c>
      <c r="F55" s="94" t="s">
        <v>9687</v>
      </c>
      <c r="G55" s="94" t="s">
        <v>9719</v>
      </c>
      <c r="H55" s="15" t="s">
        <v>9634</v>
      </c>
      <c r="I55" s="27">
        <v>25</v>
      </c>
      <c r="J55" s="27">
        <v>25</v>
      </c>
      <c r="K55" s="94" t="s">
        <v>9951</v>
      </c>
      <c r="L55" s="15" t="s">
        <v>9949</v>
      </c>
      <c r="M55" s="15" t="s">
        <v>9745</v>
      </c>
      <c r="N55" s="94" t="str">
        <f t="shared" si="0"/>
        <v>Sim</v>
      </c>
      <c r="O55" s="15">
        <v>0</v>
      </c>
      <c r="P55" s="15">
        <v>50</v>
      </c>
    </row>
    <row r="56" spans="1:16" ht="17.25" customHeight="1" x14ac:dyDescent="0.35">
      <c r="A56" s="117"/>
      <c r="B56" s="91" t="s">
        <v>9865</v>
      </c>
      <c r="C56" s="91" t="s">
        <v>10280</v>
      </c>
      <c r="D56" s="96" t="s">
        <v>10304</v>
      </c>
      <c r="E56" s="97" t="s">
        <v>10126</v>
      </c>
      <c r="F56" s="94" t="s">
        <v>9687</v>
      </c>
      <c r="G56" s="94" t="s">
        <v>9719</v>
      </c>
      <c r="H56" s="15" t="s">
        <v>9634</v>
      </c>
      <c r="I56" s="27">
        <v>0</v>
      </c>
      <c r="J56" s="27">
        <v>0</v>
      </c>
      <c r="K56" s="94" t="s">
        <v>9951</v>
      </c>
      <c r="L56" s="15" t="s">
        <v>9949</v>
      </c>
      <c r="M56" s="15" t="s">
        <v>9746</v>
      </c>
      <c r="N56" s="94" t="str">
        <f t="shared" si="0"/>
        <v>Sim</v>
      </c>
      <c r="O56" s="15">
        <v>0</v>
      </c>
      <c r="P56" s="15">
        <v>25</v>
      </c>
    </row>
    <row r="57" spans="1:16" ht="17.25" customHeight="1" x14ac:dyDescent="0.35">
      <c r="A57" s="117"/>
      <c r="B57" s="91" t="s">
        <v>9865</v>
      </c>
      <c r="C57" s="91" t="s">
        <v>10280</v>
      </c>
      <c r="D57" s="96" t="s">
        <v>10305</v>
      </c>
      <c r="E57" s="97" t="s">
        <v>10123</v>
      </c>
      <c r="F57" s="94" t="s">
        <v>9687</v>
      </c>
      <c r="G57" s="94" t="s">
        <v>9719</v>
      </c>
      <c r="H57" s="15" t="s">
        <v>9634</v>
      </c>
      <c r="I57" s="27">
        <v>25</v>
      </c>
      <c r="J57" s="27">
        <v>25</v>
      </c>
      <c r="K57" s="94" t="s">
        <v>9951</v>
      </c>
      <c r="L57" s="15" t="s">
        <v>9949</v>
      </c>
      <c r="M57" s="15" t="s">
        <v>9747</v>
      </c>
      <c r="N57" s="94" t="str">
        <f t="shared" si="0"/>
        <v>Sim</v>
      </c>
      <c r="O57" s="15">
        <v>0</v>
      </c>
      <c r="P57" s="15">
        <v>50</v>
      </c>
    </row>
    <row r="58" spans="1:16" ht="17.25" customHeight="1" x14ac:dyDescent="0.35">
      <c r="A58" s="117"/>
      <c r="B58" s="91" t="s">
        <v>9865</v>
      </c>
      <c r="C58" s="91" t="s">
        <v>10280</v>
      </c>
      <c r="D58" s="96" t="s">
        <v>10306</v>
      </c>
      <c r="E58" s="97" t="s">
        <v>10124</v>
      </c>
      <c r="F58" s="94" t="s">
        <v>9687</v>
      </c>
      <c r="G58" s="94" t="s">
        <v>9719</v>
      </c>
      <c r="H58" s="15" t="s">
        <v>9634</v>
      </c>
      <c r="I58" s="27">
        <v>25</v>
      </c>
      <c r="J58" s="27">
        <v>25</v>
      </c>
      <c r="K58" s="94" t="s">
        <v>9951</v>
      </c>
      <c r="L58" s="15" t="s">
        <v>9949</v>
      </c>
      <c r="M58" s="15" t="s">
        <v>9748</v>
      </c>
      <c r="N58" s="94" t="str">
        <f t="shared" si="0"/>
        <v>Sim</v>
      </c>
      <c r="O58" s="15">
        <v>0</v>
      </c>
      <c r="P58" s="15">
        <v>25</v>
      </c>
    </row>
    <row r="59" spans="1:16" ht="17.25" customHeight="1" x14ac:dyDescent="0.35">
      <c r="A59" s="117"/>
      <c r="B59" s="91" t="s">
        <v>9865</v>
      </c>
      <c r="C59" s="91" t="s">
        <v>10280</v>
      </c>
      <c r="D59" s="96" t="s">
        <v>10307</v>
      </c>
      <c r="E59" s="97" t="s">
        <v>10127</v>
      </c>
      <c r="F59" s="94" t="s">
        <v>9687</v>
      </c>
      <c r="G59" s="94" t="s">
        <v>9719</v>
      </c>
      <c r="H59" s="15" t="s">
        <v>9634</v>
      </c>
      <c r="I59" s="27">
        <v>25</v>
      </c>
      <c r="J59" s="27">
        <v>25</v>
      </c>
      <c r="K59" s="94" t="s">
        <v>9951</v>
      </c>
      <c r="L59" s="15" t="s">
        <v>9949</v>
      </c>
      <c r="M59" s="15" t="s">
        <v>9749</v>
      </c>
      <c r="N59" s="94" t="str">
        <f t="shared" si="0"/>
        <v>Sim</v>
      </c>
      <c r="O59" s="15">
        <v>0</v>
      </c>
      <c r="P59" s="15">
        <v>50</v>
      </c>
    </row>
    <row r="60" spans="1:16" ht="17.25" customHeight="1" x14ac:dyDescent="0.35">
      <c r="A60" s="117"/>
      <c r="B60" s="91" t="s">
        <v>9865</v>
      </c>
      <c r="C60" s="91" t="s">
        <v>10280</v>
      </c>
      <c r="D60" s="96" t="s">
        <v>10308</v>
      </c>
      <c r="E60" s="97" t="s">
        <v>10128</v>
      </c>
      <c r="F60" s="94" t="s">
        <v>9687</v>
      </c>
      <c r="G60" s="94" t="s">
        <v>9719</v>
      </c>
      <c r="H60" s="15" t="s">
        <v>9634</v>
      </c>
      <c r="I60" s="27">
        <v>0</v>
      </c>
      <c r="J60" s="27">
        <v>0</v>
      </c>
      <c r="K60" s="94" t="s">
        <v>9951</v>
      </c>
      <c r="L60" s="15" t="s">
        <v>9949</v>
      </c>
      <c r="M60" s="15" t="s">
        <v>9750</v>
      </c>
      <c r="N60" s="94" t="str">
        <f t="shared" si="0"/>
        <v>Sim</v>
      </c>
      <c r="O60" s="15">
        <v>0</v>
      </c>
      <c r="P60" s="15">
        <v>25</v>
      </c>
    </row>
    <row r="61" spans="1:16" ht="17.25" customHeight="1" x14ac:dyDescent="0.35">
      <c r="A61" s="117"/>
      <c r="B61" s="91" t="s">
        <v>9865</v>
      </c>
      <c r="C61" s="91" t="s">
        <v>10280</v>
      </c>
      <c r="D61" s="96" t="s">
        <v>10309</v>
      </c>
      <c r="E61" s="97" t="s">
        <v>10129</v>
      </c>
      <c r="F61" s="94" t="s">
        <v>9687</v>
      </c>
      <c r="G61" s="94" t="s">
        <v>9719</v>
      </c>
      <c r="H61" s="15" t="s">
        <v>9634</v>
      </c>
      <c r="I61" s="27">
        <v>25</v>
      </c>
      <c r="J61" s="27">
        <v>25</v>
      </c>
      <c r="K61" s="94" t="s">
        <v>9951</v>
      </c>
      <c r="L61" s="15" t="s">
        <v>9949</v>
      </c>
      <c r="M61" s="15" t="s">
        <v>9751</v>
      </c>
      <c r="N61" s="94" t="str">
        <f t="shared" si="0"/>
        <v>Sim</v>
      </c>
      <c r="O61" s="15">
        <v>0</v>
      </c>
      <c r="P61" s="15">
        <v>80</v>
      </c>
    </row>
    <row r="62" spans="1:16" ht="17.25" customHeight="1" x14ac:dyDescent="0.35">
      <c r="A62" s="117"/>
      <c r="B62" s="91" t="s">
        <v>9865</v>
      </c>
      <c r="C62" s="91" t="s">
        <v>10280</v>
      </c>
      <c r="D62" s="96" t="s">
        <v>10310</v>
      </c>
      <c r="E62" s="97" t="s">
        <v>10130</v>
      </c>
      <c r="F62" s="94" t="s">
        <v>9687</v>
      </c>
      <c r="G62" s="94" t="s">
        <v>9719</v>
      </c>
      <c r="H62" s="15" t="s">
        <v>9634</v>
      </c>
      <c r="I62" s="27">
        <v>0</v>
      </c>
      <c r="J62" s="27">
        <v>0</v>
      </c>
      <c r="K62" s="94" t="s">
        <v>9951</v>
      </c>
      <c r="L62" s="15" t="s">
        <v>9949</v>
      </c>
      <c r="M62" s="15" t="s">
        <v>9752</v>
      </c>
      <c r="N62" s="94" t="str">
        <f t="shared" si="0"/>
        <v>Sim</v>
      </c>
      <c r="O62" s="15">
        <v>0</v>
      </c>
      <c r="P62" s="15">
        <v>25</v>
      </c>
    </row>
    <row r="63" spans="1:16" s="18" customFormat="1" ht="17.25" customHeight="1" x14ac:dyDescent="0.35">
      <c r="A63" s="117"/>
      <c r="B63" s="91" t="s">
        <v>9865</v>
      </c>
      <c r="C63" s="91" t="s">
        <v>10280</v>
      </c>
      <c r="D63" s="96" t="s">
        <v>10311</v>
      </c>
      <c r="E63" s="97" t="s">
        <v>10131</v>
      </c>
      <c r="F63" s="94" t="s">
        <v>9687</v>
      </c>
      <c r="G63" s="94" t="s">
        <v>9719</v>
      </c>
      <c r="H63" s="15" t="s">
        <v>9634</v>
      </c>
      <c r="I63" s="27">
        <v>25</v>
      </c>
      <c r="J63" s="27">
        <v>25</v>
      </c>
      <c r="K63" s="94" t="s">
        <v>9951</v>
      </c>
      <c r="L63" s="15" t="s">
        <v>9949</v>
      </c>
      <c r="M63" s="15" t="s">
        <v>9753</v>
      </c>
      <c r="N63" s="94" t="str">
        <f t="shared" si="0"/>
        <v>Sim</v>
      </c>
      <c r="O63" s="15">
        <v>0</v>
      </c>
      <c r="P63" s="15">
        <v>25</v>
      </c>
    </row>
    <row r="64" spans="1:16" ht="17.25" customHeight="1" x14ac:dyDescent="0.35">
      <c r="A64" s="117"/>
      <c r="B64" s="91" t="s">
        <v>9865</v>
      </c>
      <c r="C64" s="91" t="s">
        <v>10280</v>
      </c>
      <c r="D64" s="96" t="s">
        <v>10312</v>
      </c>
      <c r="E64" s="97" t="s">
        <v>10132</v>
      </c>
      <c r="F64" s="94" t="s">
        <v>9687</v>
      </c>
      <c r="G64" s="94" t="s">
        <v>9719</v>
      </c>
      <c r="H64" s="15" t="s">
        <v>9634</v>
      </c>
      <c r="I64" s="27">
        <v>0</v>
      </c>
      <c r="J64" s="27">
        <v>0</v>
      </c>
      <c r="K64" s="94" t="s">
        <v>9951</v>
      </c>
      <c r="L64" s="15" t="s">
        <v>9949</v>
      </c>
      <c r="M64" s="15" t="s">
        <v>9754</v>
      </c>
      <c r="N64" s="94" t="str">
        <f t="shared" si="0"/>
        <v>Sim</v>
      </c>
      <c r="O64" s="15">
        <v>0</v>
      </c>
      <c r="P64" s="15">
        <v>25</v>
      </c>
    </row>
    <row r="65" spans="1:16" ht="17.25" customHeight="1" x14ac:dyDescent="0.35">
      <c r="A65" s="117"/>
      <c r="B65" s="91" t="s">
        <v>9865</v>
      </c>
      <c r="C65" s="91" t="s">
        <v>10280</v>
      </c>
      <c r="D65" s="96" t="s">
        <v>10313</v>
      </c>
      <c r="E65" s="97" t="s">
        <v>10133</v>
      </c>
      <c r="F65" s="94" t="s">
        <v>9687</v>
      </c>
      <c r="G65" s="94" t="s">
        <v>9719</v>
      </c>
      <c r="H65" s="15" t="s">
        <v>9634</v>
      </c>
      <c r="I65" s="27">
        <v>0</v>
      </c>
      <c r="J65" s="27">
        <v>0</v>
      </c>
      <c r="K65" s="94" t="s">
        <v>9951</v>
      </c>
      <c r="L65" s="15" t="s">
        <v>9949</v>
      </c>
      <c r="M65" s="15" t="s">
        <v>9755</v>
      </c>
      <c r="N65" s="94" t="str">
        <f t="shared" si="0"/>
        <v>Sim</v>
      </c>
      <c r="O65" s="15">
        <v>0</v>
      </c>
      <c r="P65" s="15">
        <v>25</v>
      </c>
    </row>
    <row r="66" spans="1:16" ht="17.25" customHeight="1" x14ac:dyDescent="0.35">
      <c r="A66" s="117" t="s">
        <v>9756</v>
      </c>
      <c r="B66" s="91" t="s">
        <v>9865</v>
      </c>
      <c r="C66" s="91" t="s">
        <v>10285</v>
      </c>
      <c r="D66" s="96" t="s">
        <v>9757</v>
      </c>
      <c r="E66" s="97" t="s">
        <v>10135</v>
      </c>
      <c r="F66" s="94" t="s">
        <v>9687</v>
      </c>
      <c r="G66" s="94" t="s">
        <v>9719</v>
      </c>
      <c r="H66" s="15" t="s">
        <v>9812</v>
      </c>
      <c r="I66" s="27">
        <v>20000</v>
      </c>
      <c r="J66" s="27">
        <v>20000</v>
      </c>
      <c r="K66" s="94" t="s">
        <v>9951</v>
      </c>
      <c r="L66" s="15" t="s">
        <v>9949</v>
      </c>
      <c r="M66" s="15" t="s">
        <v>9820</v>
      </c>
      <c r="N66" s="94" t="str">
        <f t="shared" si="0"/>
        <v>Sim</v>
      </c>
      <c r="O66" s="15">
        <v>10000</v>
      </c>
      <c r="P66" s="15">
        <v>50000</v>
      </c>
    </row>
    <row r="67" spans="1:16" ht="17.25" customHeight="1" x14ac:dyDescent="0.35">
      <c r="A67" s="117"/>
      <c r="B67" s="91" t="s">
        <v>9865</v>
      </c>
      <c r="C67" s="91" t="s">
        <v>10285</v>
      </c>
      <c r="D67" s="96" t="s">
        <v>9758</v>
      </c>
      <c r="E67" s="97" t="s">
        <v>10136</v>
      </c>
      <c r="F67" s="94" t="s">
        <v>9687</v>
      </c>
      <c r="G67" s="94" t="s">
        <v>9719</v>
      </c>
      <c r="H67" s="15" t="s">
        <v>9812</v>
      </c>
      <c r="I67" s="27">
        <v>10000</v>
      </c>
      <c r="J67" s="27">
        <v>10000</v>
      </c>
      <c r="K67" s="94" t="s">
        <v>9951</v>
      </c>
      <c r="L67" s="15" t="s">
        <v>9949</v>
      </c>
      <c r="M67" s="15" t="s">
        <v>9821</v>
      </c>
      <c r="N67" s="94" t="str">
        <f t="shared" si="0"/>
        <v>Sim</v>
      </c>
      <c r="O67" s="15">
        <v>1000</v>
      </c>
      <c r="P67" s="15">
        <v>10000</v>
      </c>
    </row>
    <row r="68" spans="1:16" ht="17.25" customHeight="1" x14ac:dyDescent="0.35">
      <c r="A68" s="117"/>
      <c r="B68" s="91" t="s">
        <v>9865</v>
      </c>
      <c r="C68" s="91" t="s">
        <v>10285</v>
      </c>
      <c r="D68" s="96" t="s">
        <v>9759</v>
      </c>
      <c r="E68" s="97" t="s">
        <v>10137</v>
      </c>
      <c r="F68" s="94" t="s">
        <v>9687</v>
      </c>
      <c r="G68" s="94" t="s">
        <v>9719</v>
      </c>
      <c r="H68" s="15" t="s">
        <v>9812</v>
      </c>
      <c r="I68" s="27">
        <v>1500</v>
      </c>
      <c r="J68" s="27">
        <v>1500</v>
      </c>
      <c r="K68" s="94" t="s">
        <v>9951</v>
      </c>
      <c r="L68" s="15" t="s">
        <v>9949</v>
      </c>
      <c r="M68" s="15" t="s">
        <v>9822</v>
      </c>
      <c r="N68" s="94" t="str">
        <f t="shared" si="0"/>
        <v>Sim</v>
      </c>
      <c r="O68" s="15">
        <v>1000</v>
      </c>
      <c r="P68" s="15">
        <v>5000</v>
      </c>
    </row>
    <row r="69" spans="1:16" ht="17.25" customHeight="1" x14ac:dyDescent="0.35">
      <c r="A69" s="117"/>
      <c r="B69" s="91" t="s">
        <v>9865</v>
      </c>
      <c r="C69" s="91" t="s">
        <v>10285</v>
      </c>
      <c r="D69" s="96" t="s">
        <v>9760</v>
      </c>
      <c r="E69" s="97" t="s">
        <v>10138</v>
      </c>
      <c r="F69" s="94" t="s">
        <v>10270</v>
      </c>
      <c r="G69" s="94" t="s">
        <v>9719</v>
      </c>
      <c r="H69" s="15" t="s">
        <v>10273</v>
      </c>
      <c r="I69" s="27" t="s">
        <v>9774</v>
      </c>
      <c r="J69" s="27" t="s">
        <v>9774</v>
      </c>
      <c r="K69" s="94" t="s">
        <v>9951</v>
      </c>
      <c r="L69" s="15" t="s">
        <v>9949</v>
      </c>
      <c r="M69" s="15" t="s">
        <v>9823</v>
      </c>
      <c r="N69" s="94" t="str">
        <f t="shared" si="0"/>
        <v>Sim</v>
      </c>
      <c r="O69" s="15" t="s">
        <v>9780</v>
      </c>
      <c r="P69" s="15" t="s">
        <v>9780</v>
      </c>
    </row>
    <row r="70" spans="1:16" ht="17.25" customHeight="1" x14ac:dyDescent="0.35">
      <c r="A70" s="117"/>
      <c r="B70" s="91" t="s">
        <v>9865</v>
      </c>
      <c r="C70" s="91" t="s">
        <v>10285</v>
      </c>
      <c r="D70" s="96" t="s">
        <v>9761</v>
      </c>
      <c r="E70" s="97" t="s">
        <v>10139</v>
      </c>
      <c r="F70" s="94" t="s">
        <v>9687</v>
      </c>
      <c r="G70" s="94" t="s">
        <v>9719</v>
      </c>
      <c r="H70" s="15" t="s">
        <v>9812</v>
      </c>
      <c r="I70" s="27">
        <v>1250</v>
      </c>
      <c r="J70" s="27">
        <v>1250</v>
      </c>
      <c r="K70" s="94" t="s">
        <v>9951</v>
      </c>
      <c r="L70" s="15" t="s">
        <v>9949</v>
      </c>
      <c r="M70" s="15" t="s">
        <v>9824</v>
      </c>
      <c r="N70" s="94" t="str">
        <f t="shared" si="0"/>
        <v>Sim</v>
      </c>
      <c r="O70" s="15">
        <v>1000</v>
      </c>
      <c r="P70" s="15">
        <v>5000</v>
      </c>
    </row>
    <row r="71" spans="1:16" ht="17.25" customHeight="1" x14ac:dyDescent="0.35">
      <c r="A71" s="117"/>
      <c r="B71" s="91" t="s">
        <v>9865</v>
      </c>
      <c r="C71" s="91" t="s">
        <v>10285</v>
      </c>
      <c r="D71" s="96" t="s">
        <v>9762</v>
      </c>
      <c r="E71" s="97" t="s">
        <v>10140</v>
      </c>
      <c r="F71" s="94" t="s">
        <v>9687</v>
      </c>
      <c r="G71" s="94" t="s">
        <v>9719</v>
      </c>
      <c r="H71" s="15" t="s">
        <v>9813</v>
      </c>
      <c r="I71" s="27">
        <v>450</v>
      </c>
      <c r="J71" s="27">
        <v>450</v>
      </c>
      <c r="K71" s="94" t="s">
        <v>9951</v>
      </c>
      <c r="L71" s="15" t="s">
        <v>9949</v>
      </c>
      <c r="M71" s="15" t="s">
        <v>9825</v>
      </c>
      <c r="N71" s="94" t="str">
        <f t="shared" ref="N71:N150" si="1">IF(F71="String",IF(I71&lt;&gt;"","Sim","Não"),IF(F71="List",IF(I71&lt;&gt;"","Sim","Não"),IF(AND(I71&gt;=O71,I71&lt;=P71,I71&lt;&gt;""),"Sim","Não")))</f>
        <v>Sim</v>
      </c>
      <c r="O71" s="15">
        <v>250</v>
      </c>
      <c r="P71" s="15">
        <v>750</v>
      </c>
    </row>
    <row r="72" spans="1:16" ht="17.25" customHeight="1" x14ac:dyDescent="0.35">
      <c r="A72" s="117"/>
      <c r="B72" s="91" t="s">
        <v>9865</v>
      </c>
      <c r="C72" s="91" t="s">
        <v>10285</v>
      </c>
      <c r="D72" s="96" t="s">
        <v>9763</v>
      </c>
      <c r="E72" s="97" t="s">
        <v>10141</v>
      </c>
      <c r="F72" s="94" t="s">
        <v>9687</v>
      </c>
      <c r="G72" s="94" t="s">
        <v>9719</v>
      </c>
      <c r="H72" s="15" t="s">
        <v>9814</v>
      </c>
      <c r="I72" s="27">
        <v>5000</v>
      </c>
      <c r="J72" s="27">
        <v>5000</v>
      </c>
      <c r="K72" s="94" t="s">
        <v>9951</v>
      </c>
      <c r="L72" s="15" t="s">
        <v>9949</v>
      </c>
      <c r="M72" s="15" t="s">
        <v>9826</v>
      </c>
      <c r="N72" s="94" t="str">
        <f t="shared" si="1"/>
        <v>Sim</v>
      </c>
      <c r="O72" s="15">
        <v>2000</v>
      </c>
      <c r="P72" s="15">
        <v>10000</v>
      </c>
    </row>
    <row r="73" spans="1:16" ht="17.25" customHeight="1" x14ac:dyDescent="0.35">
      <c r="A73" s="117"/>
      <c r="B73" s="91" t="s">
        <v>9865</v>
      </c>
      <c r="C73" s="91" t="s">
        <v>10285</v>
      </c>
      <c r="D73" s="96" t="s">
        <v>9764</v>
      </c>
      <c r="E73" s="97" t="s">
        <v>10142</v>
      </c>
      <c r="F73" s="94" t="s">
        <v>9687</v>
      </c>
      <c r="G73" s="94" t="s">
        <v>9719</v>
      </c>
      <c r="H73" s="15" t="s">
        <v>9812</v>
      </c>
      <c r="I73" s="27">
        <v>100000</v>
      </c>
      <c r="J73" s="27">
        <v>100000</v>
      </c>
      <c r="K73" s="94" t="s">
        <v>9951</v>
      </c>
      <c r="L73" s="15" t="s">
        <v>9949</v>
      </c>
      <c r="M73" s="15" t="s">
        <v>9827</v>
      </c>
      <c r="N73" s="94" t="str">
        <f t="shared" si="1"/>
        <v>Sim</v>
      </c>
      <c r="O73" s="15">
        <v>50000</v>
      </c>
      <c r="P73" s="15">
        <v>500000</v>
      </c>
    </row>
    <row r="74" spans="1:16" ht="17.25" customHeight="1" x14ac:dyDescent="0.35">
      <c r="A74" s="117"/>
      <c r="B74" s="91" t="s">
        <v>9865</v>
      </c>
      <c r="C74" s="91" t="s">
        <v>10285</v>
      </c>
      <c r="D74" s="96" t="s">
        <v>9765</v>
      </c>
      <c r="E74" s="97" t="s">
        <v>10143</v>
      </c>
      <c r="F74" s="94" t="s">
        <v>9687</v>
      </c>
      <c r="G74" s="94" t="s">
        <v>9719</v>
      </c>
      <c r="H74" s="15" t="s">
        <v>9815</v>
      </c>
      <c r="I74" s="27">
        <v>25000</v>
      </c>
      <c r="J74" s="27">
        <v>25000</v>
      </c>
      <c r="K74" s="94" t="s">
        <v>9951</v>
      </c>
      <c r="L74" s="15" t="s">
        <v>9949</v>
      </c>
      <c r="M74" s="15" t="s">
        <v>9828</v>
      </c>
      <c r="N74" s="94" t="str">
        <f t="shared" si="1"/>
        <v>Sim</v>
      </c>
      <c r="O74" s="15">
        <v>10000</v>
      </c>
      <c r="P74" s="15">
        <v>50000</v>
      </c>
    </row>
    <row r="75" spans="1:16" ht="17.25" customHeight="1" x14ac:dyDescent="0.35">
      <c r="A75" s="117"/>
      <c r="B75" s="91" t="s">
        <v>9865</v>
      </c>
      <c r="C75" s="91" t="s">
        <v>10285</v>
      </c>
      <c r="D75" s="96" t="s">
        <v>9766</v>
      </c>
      <c r="E75" s="97" t="s">
        <v>10144</v>
      </c>
      <c r="F75" s="94" t="s">
        <v>9687</v>
      </c>
      <c r="G75" s="94" t="s">
        <v>9719</v>
      </c>
      <c r="H75" s="15" t="s">
        <v>9816</v>
      </c>
      <c r="I75" s="27">
        <v>100</v>
      </c>
      <c r="J75" s="27">
        <v>100</v>
      </c>
      <c r="K75" s="94" t="s">
        <v>9951</v>
      </c>
      <c r="L75" s="15" t="s">
        <v>9949</v>
      </c>
      <c r="M75" s="15" t="s">
        <v>9829</v>
      </c>
      <c r="N75" s="94" t="str">
        <f t="shared" si="1"/>
        <v>Sim</v>
      </c>
      <c r="O75" s="15">
        <v>20</v>
      </c>
      <c r="P75" s="15">
        <v>500</v>
      </c>
    </row>
    <row r="76" spans="1:16" ht="17.25" customHeight="1" x14ac:dyDescent="0.35">
      <c r="A76" s="117"/>
      <c r="B76" s="91" t="s">
        <v>9865</v>
      </c>
      <c r="C76" s="91" t="s">
        <v>10285</v>
      </c>
      <c r="D76" s="96" t="s">
        <v>9767</v>
      </c>
      <c r="E76" s="97" t="s">
        <v>10145</v>
      </c>
      <c r="F76" s="94" t="s">
        <v>9687</v>
      </c>
      <c r="G76" s="94" t="s">
        <v>9719</v>
      </c>
      <c r="H76" s="15" t="s">
        <v>9735</v>
      </c>
      <c r="I76" s="27">
        <v>53</v>
      </c>
      <c r="J76" s="27">
        <v>53</v>
      </c>
      <c r="K76" s="94" t="s">
        <v>9951</v>
      </c>
      <c r="L76" s="15" t="s">
        <v>9949</v>
      </c>
      <c r="M76" s="15" t="s">
        <v>9830</v>
      </c>
      <c r="N76" s="94" t="str">
        <f t="shared" si="1"/>
        <v>Sim</v>
      </c>
      <c r="O76" s="15">
        <v>25</v>
      </c>
      <c r="P76" s="15">
        <v>500</v>
      </c>
    </row>
    <row r="77" spans="1:16" ht="17.25" customHeight="1" x14ac:dyDescent="0.35">
      <c r="A77" s="117"/>
      <c r="B77" s="91" t="s">
        <v>9865</v>
      </c>
      <c r="C77" s="91" t="s">
        <v>10285</v>
      </c>
      <c r="D77" s="96" t="s">
        <v>9768</v>
      </c>
      <c r="E77" s="97" t="s">
        <v>10146</v>
      </c>
      <c r="F77" s="94" t="s">
        <v>9687</v>
      </c>
      <c r="G77" s="94" t="s">
        <v>9719</v>
      </c>
      <c r="H77" s="15" t="s">
        <v>9817</v>
      </c>
      <c r="I77" s="27">
        <v>3</v>
      </c>
      <c r="J77" s="27">
        <v>3</v>
      </c>
      <c r="K77" s="94" t="s">
        <v>9951</v>
      </c>
      <c r="L77" s="15" t="s">
        <v>9949</v>
      </c>
      <c r="M77" s="15" t="s">
        <v>9831</v>
      </c>
      <c r="N77" s="94" t="str">
        <f t="shared" si="1"/>
        <v>Sim</v>
      </c>
      <c r="O77" s="15">
        <v>2.5</v>
      </c>
      <c r="P77" s="15">
        <v>10</v>
      </c>
    </row>
    <row r="78" spans="1:16" ht="17.25" customHeight="1" x14ac:dyDescent="0.35">
      <c r="A78" s="117"/>
      <c r="B78" s="91" t="s">
        <v>9865</v>
      </c>
      <c r="C78" s="91" t="s">
        <v>10285</v>
      </c>
      <c r="D78" s="96" t="s">
        <v>9769</v>
      </c>
      <c r="E78" s="97" t="s">
        <v>10147</v>
      </c>
      <c r="F78" s="94" t="s">
        <v>9687</v>
      </c>
      <c r="G78" s="94" t="s">
        <v>9719</v>
      </c>
      <c r="H78" s="15" t="s">
        <v>9818</v>
      </c>
      <c r="I78" s="27">
        <v>1.681</v>
      </c>
      <c r="J78" s="27">
        <v>1.681</v>
      </c>
      <c r="K78" s="94" t="s">
        <v>9951</v>
      </c>
      <c r="L78" s="15" t="s">
        <v>9949</v>
      </c>
      <c r="M78" s="15" t="s">
        <v>9832</v>
      </c>
      <c r="N78" s="94" t="str">
        <f t="shared" si="1"/>
        <v>Sim</v>
      </c>
      <c r="O78" s="15">
        <v>1</v>
      </c>
      <c r="P78" s="15">
        <v>10</v>
      </c>
    </row>
    <row r="79" spans="1:16" ht="17.25" customHeight="1" x14ac:dyDescent="0.35">
      <c r="A79" s="117"/>
      <c r="B79" s="91" t="s">
        <v>9865</v>
      </c>
      <c r="C79" s="91" t="s">
        <v>10285</v>
      </c>
      <c r="D79" s="96" t="s">
        <v>9770</v>
      </c>
      <c r="E79" s="97" t="s">
        <v>10148</v>
      </c>
      <c r="F79" s="94" t="s">
        <v>9687</v>
      </c>
      <c r="G79" s="94" t="s">
        <v>9719</v>
      </c>
      <c r="H79" s="15" t="s">
        <v>9818</v>
      </c>
      <c r="I79" s="27">
        <v>1.0780000000000001</v>
      </c>
      <c r="J79" s="27">
        <v>1.0780000000000001</v>
      </c>
      <c r="K79" s="94" t="s">
        <v>9951</v>
      </c>
      <c r="L79" s="15" t="s">
        <v>9949</v>
      </c>
      <c r="M79" s="15" t="s">
        <v>9833</v>
      </c>
      <c r="N79" s="94" t="str">
        <f t="shared" si="1"/>
        <v>Sim</v>
      </c>
      <c r="O79" s="15">
        <v>1</v>
      </c>
      <c r="P79" s="15">
        <v>10</v>
      </c>
    </row>
    <row r="80" spans="1:16" s="18" customFormat="1" ht="17.25" customHeight="1" x14ac:dyDescent="0.35">
      <c r="A80" s="117"/>
      <c r="B80" s="91" t="s">
        <v>9865</v>
      </c>
      <c r="C80" s="91" t="s">
        <v>10285</v>
      </c>
      <c r="D80" s="96" t="s">
        <v>9771</v>
      </c>
      <c r="E80" s="97" t="s">
        <v>10149</v>
      </c>
      <c r="F80" s="94" t="s">
        <v>9687</v>
      </c>
      <c r="G80" s="94" t="s">
        <v>9719</v>
      </c>
      <c r="H80" s="15" t="s">
        <v>9818</v>
      </c>
      <c r="I80" s="27">
        <v>7.26</v>
      </c>
      <c r="J80" s="27">
        <v>7.26</v>
      </c>
      <c r="K80" s="94" t="s">
        <v>9951</v>
      </c>
      <c r="L80" s="15" t="s">
        <v>9949</v>
      </c>
      <c r="M80" s="15" t="s">
        <v>9834</v>
      </c>
      <c r="N80" s="94" t="str">
        <f t="shared" si="1"/>
        <v>Sim</v>
      </c>
      <c r="O80" s="15">
        <v>2.5</v>
      </c>
      <c r="P80" s="15">
        <v>10</v>
      </c>
    </row>
    <row r="81" spans="1:16" ht="17.25" customHeight="1" x14ac:dyDescent="0.35">
      <c r="A81" s="117"/>
      <c r="B81" s="91" t="s">
        <v>9865</v>
      </c>
      <c r="C81" s="91" t="s">
        <v>10285</v>
      </c>
      <c r="D81" s="96" t="s">
        <v>9772</v>
      </c>
      <c r="E81" s="97" t="s">
        <v>10150</v>
      </c>
      <c r="F81" s="94" t="s">
        <v>9687</v>
      </c>
      <c r="G81" s="94" t="s">
        <v>9719</v>
      </c>
      <c r="H81" s="15" t="s">
        <v>9819</v>
      </c>
      <c r="I81" s="27">
        <v>2.2000000000000002</v>
      </c>
      <c r="J81" s="27">
        <v>2.2000000000000002</v>
      </c>
      <c r="K81" s="94" t="s">
        <v>9951</v>
      </c>
      <c r="L81" s="15" t="s">
        <v>9949</v>
      </c>
      <c r="M81" s="15" t="s">
        <v>9835</v>
      </c>
      <c r="N81" s="94" t="str">
        <f t="shared" si="1"/>
        <v>Sim</v>
      </c>
      <c r="O81" s="15">
        <v>0</v>
      </c>
      <c r="P81" s="15">
        <v>15</v>
      </c>
    </row>
    <row r="82" spans="1:16" ht="17.25" customHeight="1" x14ac:dyDescent="0.35">
      <c r="A82" s="117"/>
      <c r="B82" s="91" t="s">
        <v>9865</v>
      </c>
      <c r="C82" s="91" t="s">
        <v>10285</v>
      </c>
      <c r="D82" s="96" t="s">
        <v>9773</v>
      </c>
      <c r="E82" s="97" t="s">
        <v>10151</v>
      </c>
      <c r="F82" s="94" t="s">
        <v>9687</v>
      </c>
      <c r="G82" s="94" t="s">
        <v>9719</v>
      </c>
      <c r="H82" s="15" t="s">
        <v>9735</v>
      </c>
      <c r="I82" s="27">
        <v>15</v>
      </c>
      <c r="J82" s="27">
        <v>15</v>
      </c>
      <c r="K82" s="94" t="s">
        <v>9951</v>
      </c>
      <c r="L82" s="15" t="s">
        <v>9949</v>
      </c>
      <c r="M82" s="15" t="s">
        <v>9836</v>
      </c>
      <c r="N82" s="94" t="str">
        <f t="shared" si="1"/>
        <v>Sim</v>
      </c>
      <c r="O82" s="15">
        <v>0</v>
      </c>
      <c r="P82" s="15">
        <v>50</v>
      </c>
    </row>
    <row r="83" spans="1:16" ht="17.25" customHeight="1" x14ac:dyDescent="0.35">
      <c r="A83" s="117" t="s">
        <v>9775</v>
      </c>
      <c r="B83" s="91" t="s">
        <v>9865</v>
      </c>
      <c r="C83" s="91" t="s">
        <v>10284</v>
      </c>
      <c r="D83" s="96" t="s">
        <v>9776</v>
      </c>
      <c r="E83" s="97" t="s">
        <v>10152</v>
      </c>
      <c r="F83" s="94" t="s">
        <v>9687</v>
      </c>
      <c r="G83" s="94" t="s">
        <v>9719</v>
      </c>
      <c r="H83" s="15" t="s">
        <v>9634</v>
      </c>
      <c r="I83" s="27">
        <v>5</v>
      </c>
      <c r="J83" s="27">
        <v>5</v>
      </c>
      <c r="K83" s="94" t="s">
        <v>9951</v>
      </c>
      <c r="L83" s="15" t="s">
        <v>9837</v>
      </c>
      <c r="M83" s="15" t="s">
        <v>9838</v>
      </c>
      <c r="N83" s="94" t="str">
        <f t="shared" si="1"/>
        <v>Sim</v>
      </c>
      <c r="O83" s="15">
        <v>0</v>
      </c>
      <c r="P83" s="15">
        <v>20</v>
      </c>
    </row>
    <row r="84" spans="1:16" ht="17.25" customHeight="1" x14ac:dyDescent="0.35">
      <c r="A84" s="117"/>
      <c r="B84" s="91" t="s">
        <v>9865</v>
      </c>
      <c r="C84" s="91" t="s">
        <v>10284</v>
      </c>
      <c r="D84" s="96" t="s">
        <v>9777</v>
      </c>
      <c r="E84" s="97" t="s">
        <v>10153</v>
      </c>
      <c r="F84" s="94" t="s">
        <v>9687</v>
      </c>
      <c r="G84" s="94" t="s">
        <v>9719</v>
      </c>
      <c r="H84" s="15" t="s">
        <v>9634</v>
      </c>
      <c r="I84" s="27">
        <v>12</v>
      </c>
      <c r="J84" s="27">
        <v>12</v>
      </c>
      <c r="K84" s="94" t="s">
        <v>9951</v>
      </c>
      <c r="L84" s="15" t="s">
        <v>9837</v>
      </c>
      <c r="M84" s="15" t="s">
        <v>9839</v>
      </c>
      <c r="N84" s="94" t="str">
        <f t="shared" si="1"/>
        <v>Sim</v>
      </c>
      <c r="O84" s="15">
        <v>0</v>
      </c>
      <c r="P84" s="15">
        <v>30</v>
      </c>
    </row>
    <row r="85" spans="1:16" ht="17.25" customHeight="1" x14ac:dyDescent="0.35">
      <c r="A85" s="117"/>
      <c r="B85" s="91" t="s">
        <v>9865</v>
      </c>
      <c r="C85" s="91" t="s">
        <v>10284</v>
      </c>
      <c r="D85" s="96" t="s">
        <v>9778</v>
      </c>
      <c r="E85" s="97" t="s">
        <v>10154</v>
      </c>
      <c r="F85" s="94" t="s">
        <v>9687</v>
      </c>
      <c r="G85" s="94" t="s">
        <v>9719</v>
      </c>
      <c r="H85" s="15" t="s">
        <v>9634</v>
      </c>
      <c r="I85" s="27">
        <v>9</v>
      </c>
      <c r="J85" s="27">
        <v>9</v>
      </c>
      <c r="K85" s="94" t="s">
        <v>9951</v>
      </c>
      <c r="L85" s="15" t="s">
        <v>9837</v>
      </c>
      <c r="M85" s="15" t="s">
        <v>9840</v>
      </c>
      <c r="N85" s="94" t="str">
        <f t="shared" si="1"/>
        <v>Sim</v>
      </c>
      <c r="O85" s="15">
        <v>0</v>
      </c>
      <c r="P85" s="15">
        <v>20</v>
      </c>
    </row>
    <row r="86" spans="1:16" ht="17.25" customHeight="1" x14ac:dyDescent="0.35">
      <c r="A86" s="117"/>
      <c r="B86" s="91" t="s">
        <v>9865</v>
      </c>
      <c r="C86" s="91" t="s">
        <v>10284</v>
      </c>
      <c r="D86" s="96" t="s">
        <v>9779</v>
      </c>
      <c r="E86" s="97" t="s">
        <v>10155</v>
      </c>
      <c r="F86" s="94" t="s">
        <v>9687</v>
      </c>
      <c r="G86" s="94" t="s">
        <v>9719</v>
      </c>
      <c r="H86" s="15" t="s">
        <v>9634</v>
      </c>
      <c r="I86" s="27">
        <v>25</v>
      </c>
      <c r="J86" s="27">
        <v>25</v>
      </c>
      <c r="K86" s="94" t="s">
        <v>9951</v>
      </c>
      <c r="L86" s="15" t="s">
        <v>9837</v>
      </c>
      <c r="M86" s="15" t="s">
        <v>9841</v>
      </c>
      <c r="N86" s="94" t="str">
        <f t="shared" si="1"/>
        <v>Sim</v>
      </c>
      <c r="O86" s="15">
        <v>0</v>
      </c>
      <c r="P86" s="15">
        <v>40</v>
      </c>
    </row>
    <row r="87" spans="1:16" ht="17.25" customHeight="1" x14ac:dyDescent="0.35">
      <c r="A87" s="117" t="s">
        <v>9784</v>
      </c>
      <c r="B87" s="91" t="s">
        <v>9865</v>
      </c>
      <c r="C87" s="91" t="s">
        <v>10281</v>
      </c>
      <c r="D87" s="96" t="s">
        <v>9785</v>
      </c>
      <c r="E87" s="97" t="s">
        <v>10169</v>
      </c>
      <c r="F87" s="94" t="s">
        <v>9687</v>
      </c>
      <c r="G87" s="94" t="s">
        <v>9719</v>
      </c>
      <c r="H87" s="15" t="s">
        <v>9794</v>
      </c>
      <c r="I87" s="28">
        <v>498</v>
      </c>
      <c r="J87" s="28">
        <v>498</v>
      </c>
      <c r="K87" s="94" t="s">
        <v>9951</v>
      </c>
      <c r="L87" s="15" t="s">
        <v>9949</v>
      </c>
      <c r="M87" s="15" t="s">
        <v>9842</v>
      </c>
      <c r="N87" s="94" t="str">
        <f t="shared" si="1"/>
        <v>Sim</v>
      </c>
      <c r="O87" s="15">
        <v>0</v>
      </c>
      <c r="P87" s="15">
        <v>1000</v>
      </c>
    </row>
    <row r="88" spans="1:16" ht="17.25" customHeight="1" x14ac:dyDescent="0.35">
      <c r="A88" s="117"/>
      <c r="B88" s="91" t="s">
        <v>9865</v>
      </c>
      <c r="C88" s="91" t="s">
        <v>10281</v>
      </c>
      <c r="D88" s="96" t="s">
        <v>9786</v>
      </c>
      <c r="E88" s="97" t="s">
        <v>10170</v>
      </c>
      <c r="F88" s="94" t="s">
        <v>9687</v>
      </c>
      <c r="G88" s="94" t="s">
        <v>9719</v>
      </c>
      <c r="H88" s="15" t="s">
        <v>9794</v>
      </c>
      <c r="I88" s="99">
        <v>0</v>
      </c>
      <c r="J88" s="99">
        <v>0</v>
      </c>
      <c r="K88" s="94" t="s">
        <v>9951</v>
      </c>
      <c r="L88" s="15" t="s">
        <v>9949</v>
      </c>
      <c r="M88" s="15" t="s">
        <v>9843</v>
      </c>
      <c r="N88" s="94" t="str">
        <f t="shared" si="1"/>
        <v>Sim</v>
      </c>
      <c r="O88" s="15">
        <v>0</v>
      </c>
      <c r="P88" s="15">
        <v>1000</v>
      </c>
    </row>
    <row r="89" spans="1:16" ht="17.25" customHeight="1" x14ac:dyDescent="0.35">
      <c r="A89" s="117"/>
      <c r="B89" s="91" t="s">
        <v>9865</v>
      </c>
      <c r="C89" s="91" t="s">
        <v>10281</v>
      </c>
      <c r="D89" s="96" t="s">
        <v>9787</v>
      </c>
      <c r="E89" s="97" t="s">
        <v>10171</v>
      </c>
      <c r="F89" s="94" t="s">
        <v>9687</v>
      </c>
      <c r="G89" s="94" t="s">
        <v>9719</v>
      </c>
      <c r="H89" s="15" t="s">
        <v>9794</v>
      </c>
      <c r="I89" s="99">
        <v>42.8</v>
      </c>
      <c r="J89" s="99">
        <v>42.8</v>
      </c>
      <c r="K89" s="94" t="s">
        <v>9951</v>
      </c>
      <c r="L89" s="15" t="s">
        <v>9949</v>
      </c>
      <c r="M89" s="15" t="s">
        <v>9844</v>
      </c>
      <c r="N89" s="94" t="str">
        <f t="shared" si="1"/>
        <v>Sim</v>
      </c>
      <c r="O89" s="15">
        <v>0</v>
      </c>
      <c r="P89" s="15">
        <v>500</v>
      </c>
    </row>
    <row r="90" spans="1:16" ht="17.25" customHeight="1" x14ac:dyDescent="0.35">
      <c r="A90" s="117"/>
      <c r="B90" s="91" t="s">
        <v>9865</v>
      </c>
      <c r="C90" s="91" t="s">
        <v>10281</v>
      </c>
      <c r="D90" s="96" t="s">
        <v>9788</v>
      </c>
      <c r="E90" s="22" t="s">
        <v>10173</v>
      </c>
      <c r="F90" s="94" t="s">
        <v>9687</v>
      </c>
      <c r="G90" s="94" t="s">
        <v>9719</v>
      </c>
      <c r="H90" s="15" t="s">
        <v>9794</v>
      </c>
      <c r="I90" s="99">
        <v>250</v>
      </c>
      <c r="J90" s="99">
        <v>250</v>
      </c>
      <c r="K90" s="94" t="s">
        <v>9951</v>
      </c>
      <c r="L90" s="15" t="s">
        <v>9949</v>
      </c>
      <c r="M90" s="15" t="s">
        <v>9845</v>
      </c>
      <c r="N90" s="94" t="str">
        <f t="shared" si="1"/>
        <v>Sim</v>
      </c>
      <c r="O90" s="15">
        <v>0</v>
      </c>
      <c r="P90" s="15">
        <v>500</v>
      </c>
    </row>
    <row r="91" spans="1:16" ht="17.25" customHeight="1" x14ac:dyDescent="0.35">
      <c r="A91" s="117"/>
      <c r="B91" s="91" t="s">
        <v>9865</v>
      </c>
      <c r="C91" s="91" t="s">
        <v>10281</v>
      </c>
      <c r="D91" s="96" t="s">
        <v>9789</v>
      </c>
      <c r="E91" s="97" t="s">
        <v>10172</v>
      </c>
      <c r="F91" s="94" t="s">
        <v>9687</v>
      </c>
      <c r="G91" s="94" t="s">
        <v>9719</v>
      </c>
      <c r="H91" s="15" t="s">
        <v>9634</v>
      </c>
      <c r="I91" s="28">
        <v>0.47</v>
      </c>
      <c r="J91" s="28">
        <v>0.47</v>
      </c>
      <c r="K91" s="94" t="s">
        <v>9951</v>
      </c>
      <c r="L91" s="15" t="s">
        <v>9949</v>
      </c>
      <c r="M91" s="15" t="s">
        <v>9846</v>
      </c>
      <c r="N91" s="94" t="str">
        <f t="shared" si="1"/>
        <v>Sim</v>
      </c>
      <c r="O91" s="15">
        <v>0</v>
      </c>
      <c r="P91" s="15">
        <v>5</v>
      </c>
    </row>
    <row r="92" spans="1:16" ht="17.25" customHeight="1" x14ac:dyDescent="0.35">
      <c r="A92" s="117"/>
      <c r="B92" s="91" t="s">
        <v>9865</v>
      </c>
      <c r="C92" s="91" t="s">
        <v>10281</v>
      </c>
      <c r="D92" s="96" t="s">
        <v>9790</v>
      </c>
      <c r="E92" s="97" t="s">
        <v>10174</v>
      </c>
      <c r="F92" s="94" t="s">
        <v>9687</v>
      </c>
      <c r="G92" s="94" t="s">
        <v>9719</v>
      </c>
      <c r="H92" s="15" t="s">
        <v>9795</v>
      </c>
      <c r="I92" s="99">
        <v>5</v>
      </c>
      <c r="J92" s="99">
        <v>5</v>
      </c>
      <c r="K92" s="94" t="s">
        <v>9951</v>
      </c>
      <c r="L92" s="15" t="s">
        <v>9949</v>
      </c>
      <c r="M92" s="15" t="s">
        <v>9847</v>
      </c>
      <c r="N92" s="94" t="str">
        <f t="shared" si="1"/>
        <v>Sim</v>
      </c>
      <c r="O92" s="15">
        <v>0</v>
      </c>
      <c r="P92" s="15">
        <v>20</v>
      </c>
    </row>
    <row r="93" spans="1:16" ht="17.25" customHeight="1" x14ac:dyDescent="0.35">
      <c r="A93" s="117"/>
      <c r="B93" s="91" t="s">
        <v>9865</v>
      </c>
      <c r="C93" s="91" t="s">
        <v>10281</v>
      </c>
      <c r="D93" s="96" t="s">
        <v>9791</v>
      </c>
      <c r="E93" s="97" t="s">
        <v>10175</v>
      </c>
      <c r="F93" s="94" t="s">
        <v>9687</v>
      </c>
      <c r="G93" s="94" t="s">
        <v>9719</v>
      </c>
      <c r="H93" s="15" t="s">
        <v>9796</v>
      </c>
      <c r="I93" s="99">
        <v>10</v>
      </c>
      <c r="J93" s="99">
        <v>10</v>
      </c>
      <c r="K93" s="94" t="s">
        <v>9951</v>
      </c>
      <c r="L93" s="15" t="s">
        <v>9949</v>
      </c>
      <c r="M93" s="15" t="s">
        <v>9848</v>
      </c>
      <c r="N93" s="94" t="str">
        <f t="shared" si="1"/>
        <v>Sim</v>
      </c>
      <c r="O93" s="15">
        <v>0</v>
      </c>
      <c r="P93" s="15">
        <v>30</v>
      </c>
    </row>
    <row r="94" spans="1:16" ht="17.25" customHeight="1" x14ac:dyDescent="0.35">
      <c r="A94" s="117"/>
      <c r="B94" s="91" t="s">
        <v>9865</v>
      </c>
      <c r="C94" s="91" t="s">
        <v>10281</v>
      </c>
      <c r="D94" s="96" t="s">
        <v>9792</v>
      </c>
      <c r="E94" s="97" t="s">
        <v>10176</v>
      </c>
      <c r="F94" s="94" t="s">
        <v>9687</v>
      </c>
      <c r="G94" s="94" t="s">
        <v>9719</v>
      </c>
      <c r="H94" s="15" t="s">
        <v>9796</v>
      </c>
      <c r="I94" s="99">
        <v>0</v>
      </c>
      <c r="J94" s="99">
        <v>0</v>
      </c>
      <c r="K94" s="94" t="s">
        <v>9951</v>
      </c>
      <c r="L94" s="15" t="s">
        <v>9949</v>
      </c>
      <c r="M94" s="15" t="s">
        <v>9849</v>
      </c>
      <c r="N94" s="94" t="str">
        <f t="shared" si="1"/>
        <v>Sim</v>
      </c>
      <c r="O94" s="15">
        <v>0</v>
      </c>
      <c r="P94" s="15">
        <v>50</v>
      </c>
    </row>
    <row r="95" spans="1:16" ht="17.25" customHeight="1" x14ac:dyDescent="0.35">
      <c r="A95" s="117"/>
      <c r="B95" s="91" t="s">
        <v>9865</v>
      </c>
      <c r="C95" s="91" t="s">
        <v>10281</v>
      </c>
      <c r="D95" s="96" t="s">
        <v>9793</v>
      </c>
      <c r="E95" s="97" t="s">
        <v>10177</v>
      </c>
      <c r="F95" s="94" t="s">
        <v>9687</v>
      </c>
      <c r="G95" s="94" t="s">
        <v>9719</v>
      </c>
      <c r="H95" s="15" t="s">
        <v>9783</v>
      </c>
      <c r="I95" s="99">
        <v>50.5</v>
      </c>
      <c r="J95" s="99">
        <v>50.5</v>
      </c>
      <c r="K95" s="94" t="s">
        <v>9951</v>
      </c>
      <c r="L95" s="15" t="s">
        <v>9949</v>
      </c>
      <c r="M95" s="15" t="s">
        <v>9850</v>
      </c>
      <c r="N95" s="94" t="str">
        <f t="shared" si="1"/>
        <v>Sim</v>
      </c>
      <c r="O95" s="15">
        <v>0</v>
      </c>
      <c r="P95" s="15">
        <v>100</v>
      </c>
    </row>
    <row r="96" spans="1:16" ht="17.25" customHeight="1" x14ac:dyDescent="0.35">
      <c r="A96" s="117" t="s">
        <v>10019</v>
      </c>
      <c r="B96" s="91" t="s">
        <v>9865</v>
      </c>
      <c r="C96" s="91" t="s">
        <v>10282</v>
      </c>
      <c r="D96" s="96" t="s">
        <v>10040</v>
      </c>
      <c r="E96" s="97" t="s">
        <v>10260</v>
      </c>
      <c r="F96" s="94" t="s">
        <v>9687</v>
      </c>
      <c r="G96" s="94" t="s">
        <v>9719</v>
      </c>
      <c r="H96" s="15" t="s">
        <v>9962</v>
      </c>
      <c r="I96" s="99">
        <v>30</v>
      </c>
      <c r="J96" s="99">
        <v>35</v>
      </c>
      <c r="K96" s="94" t="s">
        <v>9951</v>
      </c>
      <c r="L96" s="15" t="s">
        <v>9949</v>
      </c>
      <c r="M96" s="15" t="s">
        <v>10041</v>
      </c>
      <c r="N96" s="94" t="str">
        <f t="shared" si="1"/>
        <v>Sim</v>
      </c>
      <c r="O96" s="15">
        <v>20</v>
      </c>
      <c r="P96" s="15">
        <v>35</v>
      </c>
    </row>
    <row r="97" spans="1:16" s="18" customFormat="1" ht="17.25" customHeight="1" x14ac:dyDescent="0.35">
      <c r="A97" s="117"/>
      <c r="B97" s="91" t="s">
        <v>9865</v>
      </c>
      <c r="C97" s="91" t="s">
        <v>10282</v>
      </c>
      <c r="D97" s="96" t="s">
        <v>10020</v>
      </c>
      <c r="E97" s="97" t="s">
        <v>10254</v>
      </c>
      <c r="F97" s="94" t="s">
        <v>9687</v>
      </c>
      <c r="G97" s="94" t="s">
        <v>9719</v>
      </c>
      <c r="H97" s="15" t="s">
        <v>9634</v>
      </c>
      <c r="I97" s="99">
        <v>70</v>
      </c>
      <c r="J97" s="99">
        <v>70</v>
      </c>
      <c r="K97" s="94" t="s">
        <v>9951</v>
      </c>
      <c r="L97" s="15" t="s">
        <v>9837</v>
      </c>
      <c r="M97" s="15" t="s">
        <v>10039</v>
      </c>
      <c r="N97" s="94" t="str">
        <f t="shared" si="1"/>
        <v>Sim</v>
      </c>
      <c r="O97" s="15">
        <v>0</v>
      </c>
      <c r="P97" s="15">
        <v>100</v>
      </c>
    </row>
    <row r="98" spans="1:16" ht="17.25" customHeight="1" x14ac:dyDescent="0.35">
      <c r="A98" s="117"/>
      <c r="B98" s="91" t="s">
        <v>9865</v>
      </c>
      <c r="C98" s="91" t="s">
        <v>10282</v>
      </c>
      <c r="D98" s="96" t="s">
        <v>10021</v>
      </c>
      <c r="E98" s="97" t="s">
        <v>10255</v>
      </c>
      <c r="F98" s="94" t="s">
        <v>10270</v>
      </c>
      <c r="G98" s="94" t="s">
        <v>9719</v>
      </c>
      <c r="H98" s="15" t="s">
        <v>10043</v>
      </c>
      <c r="I98" s="99" t="s">
        <v>10044</v>
      </c>
      <c r="J98" s="99" t="s">
        <v>10044</v>
      </c>
      <c r="K98" s="94" t="s">
        <v>9951</v>
      </c>
      <c r="L98" s="15" t="s">
        <v>9837</v>
      </c>
      <c r="M98" s="15" t="s">
        <v>10045</v>
      </c>
      <c r="N98" s="94" t="str">
        <f t="shared" si="1"/>
        <v>Sim</v>
      </c>
      <c r="O98" s="15" t="s">
        <v>9780</v>
      </c>
      <c r="P98" s="15" t="s">
        <v>9780</v>
      </c>
    </row>
    <row r="99" spans="1:16" ht="17.25" customHeight="1" x14ac:dyDescent="0.35">
      <c r="A99" s="117"/>
      <c r="B99" s="91" t="s">
        <v>9865</v>
      </c>
      <c r="C99" s="91" t="s">
        <v>10282</v>
      </c>
      <c r="D99" s="96" t="s">
        <v>10022</v>
      </c>
      <c r="E99" s="97" t="s">
        <v>10268</v>
      </c>
      <c r="F99" s="94" t="s">
        <v>9687</v>
      </c>
      <c r="G99" s="94" t="s">
        <v>9719</v>
      </c>
      <c r="H99" s="15" t="s">
        <v>9634</v>
      </c>
      <c r="I99" s="99">
        <v>12.5</v>
      </c>
      <c r="J99" s="99">
        <v>12.5</v>
      </c>
      <c r="K99" s="94" t="s">
        <v>9951</v>
      </c>
      <c r="L99" s="15" t="s">
        <v>9837</v>
      </c>
      <c r="M99" s="15" t="s">
        <v>9970</v>
      </c>
      <c r="N99" s="94" t="str">
        <f t="shared" si="1"/>
        <v>Sim</v>
      </c>
      <c r="O99" s="15">
        <v>0</v>
      </c>
      <c r="P99" s="15">
        <v>35</v>
      </c>
    </row>
    <row r="100" spans="1:16" ht="17.25" customHeight="1" x14ac:dyDescent="0.35">
      <c r="A100" s="117"/>
      <c r="B100" s="91" t="s">
        <v>9865</v>
      </c>
      <c r="C100" s="91" t="s">
        <v>10282</v>
      </c>
      <c r="D100" s="96" t="s">
        <v>10023</v>
      </c>
      <c r="E100" s="97" t="s">
        <v>10256</v>
      </c>
      <c r="F100" s="94" t="s">
        <v>9687</v>
      </c>
      <c r="G100" s="94" t="s">
        <v>9719</v>
      </c>
      <c r="H100" s="15" t="s">
        <v>9634</v>
      </c>
      <c r="I100" s="99">
        <v>4.3499999999999996</v>
      </c>
      <c r="J100" s="99">
        <v>4.3499999999999996</v>
      </c>
      <c r="K100" s="94" t="s">
        <v>9951</v>
      </c>
      <c r="L100" s="15" t="s">
        <v>9837</v>
      </c>
      <c r="M100" s="15" t="s">
        <v>10046</v>
      </c>
      <c r="N100" s="94" t="str">
        <f t="shared" si="1"/>
        <v>Sim</v>
      </c>
      <c r="O100" s="15">
        <v>0</v>
      </c>
      <c r="P100" s="15">
        <v>25</v>
      </c>
    </row>
    <row r="101" spans="1:16" ht="17.25" customHeight="1" x14ac:dyDescent="0.35">
      <c r="A101" s="117"/>
      <c r="B101" s="91" t="s">
        <v>9865</v>
      </c>
      <c r="C101" s="91" t="s">
        <v>10282</v>
      </c>
      <c r="D101" s="96" t="s">
        <v>10024</v>
      </c>
      <c r="E101" s="97" t="s">
        <v>10257</v>
      </c>
      <c r="F101" s="94" t="s">
        <v>10029</v>
      </c>
      <c r="G101" s="94" t="s">
        <v>9719</v>
      </c>
      <c r="H101" s="15" t="s">
        <v>9962</v>
      </c>
      <c r="I101" s="99">
        <v>20</v>
      </c>
      <c r="J101" s="99">
        <v>20</v>
      </c>
      <c r="K101" s="94" t="s">
        <v>9951</v>
      </c>
      <c r="L101" s="15" t="s">
        <v>9837</v>
      </c>
      <c r="M101" s="15" t="s">
        <v>10047</v>
      </c>
      <c r="N101" s="94" t="str">
        <f t="shared" si="1"/>
        <v>Sim</v>
      </c>
      <c r="O101" s="15">
        <v>5</v>
      </c>
      <c r="P101" s="15">
        <v>35</v>
      </c>
    </row>
    <row r="102" spans="1:16" ht="17.25" customHeight="1" x14ac:dyDescent="0.35">
      <c r="A102" s="117"/>
      <c r="B102" s="91" t="s">
        <v>9865</v>
      </c>
      <c r="C102" s="91" t="s">
        <v>10282</v>
      </c>
      <c r="D102" s="96" t="s">
        <v>10025</v>
      </c>
      <c r="E102" s="97" t="s">
        <v>10258</v>
      </c>
      <c r="F102" s="94" t="s">
        <v>10029</v>
      </c>
      <c r="G102" s="94" t="s">
        <v>9719</v>
      </c>
      <c r="H102" s="15" t="s">
        <v>9962</v>
      </c>
      <c r="I102" s="99">
        <v>2</v>
      </c>
      <c r="J102" s="99">
        <v>2</v>
      </c>
      <c r="K102" s="94" t="s">
        <v>9951</v>
      </c>
      <c r="L102" s="15" t="s">
        <v>9837</v>
      </c>
      <c r="M102" s="15" t="s">
        <v>10048</v>
      </c>
      <c r="N102" s="94" t="str">
        <f t="shared" si="1"/>
        <v>Sim</v>
      </c>
      <c r="O102" s="15">
        <v>0</v>
      </c>
      <c r="P102" s="15">
        <v>5</v>
      </c>
    </row>
    <row r="103" spans="1:16" ht="17.25" customHeight="1" x14ac:dyDescent="0.35">
      <c r="A103" s="117"/>
      <c r="B103" s="91" t="s">
        <v>9865</v>
      </c>
      <c r="C103" s="91" t="s">
        <v>10282</v>
      </c>
      <c r="D103" s="96" t="s">
        <v>10478</v>
      </c>
      <c r="E103" s="97" t="s">
        <v>10486</v>
      </c>
      <c r="F103" s="94" t="s">
        <v>9687</v>
      </c>
      <c r="G103" s="94" t="s">
        <v>9720</v>
      </c>
      <c r="H103" s="15" t="s">
        <v>9634</v>
      </c>
      <c r="I103" s="99">
        <f>J103</f>
        <v>5</v>
      </c>
      <c r="J103" s="99">
        <v>5</v>
      </c>
      <c r="K103" s="94" t="s">
        <v>9780</v>
      </c>
      <c r="L103" s="94" t="s">
        <v>9780</v>
      </c>
      <c r="M103" s="94" t="s">
        <v>9780</v>
      </c>
      <c r="N103" s="94" t="str">
        <f t="shared" si="1"/>
        <v>Sim</v>
      </c>
      <c r="O103" s="15">
        <v>0</v>
      </c>
      <c r="P103" s="15">
        <v>35</v>
      </c>
    </row>
    <row r="104" spans="1:16" ht="17.25" customHeight="1" x14ac:dyDescent="0.35">
      <c r="A104" s="117"/>
      <c r="B104" s="91" t="s">
        <v>9865</v>
      </c>
      <c r="C104" s="91" t="s">
        <v>10282</v>
      </c>
      <c r="D104" s="96" t="s">
        <v>10479</v>
      </c>
      <c r="E104" s="97" t="s">
        <v>10487</v>
      </c>
      <c r="F104" s="94" t="s">
        <v>9687</v>
      </c>
      <c r="G104" s="94" t="s">
        <v>9720</v>
      </c>
      <c r="H104" s="15" t="s">
        <v>9634</v>
      </c>
      <c r="I104" s="99">
        <f t="shared" ref="I104:I110" si="2">J104</f>
        <v>5</v>
      </c>
      <c r="J104" s="99">
        <v>5</v>
      </c>
      <c r="K104" s="94" t="s">
        <v>9780</v>
      </c>
      <c r="L104" s="94" t="s">
        <v>9780</v>
      </c>
      <c r="M104" s="94" t="s">
        <v>9780</v>
      </c>
      <c r="N104" s="94" t="str">
        <f t="shared" si="1"/>
        <v>Sim</v>
      </c>
      <c r="O104" s="15">
        <v>0</v>
      </c>
      <c r="P104" s="15">
        <v>25</v>
      </c>
    </row>
    <row r="105" spans="1:16" ht="17.25" customHeight="1" x14ac:dyDescent="0.35">
      <c r="A105" s="117"/>
      <c r="B105" s="91" t="s">
        <v>9865</v>
      </c>
      <c r="C105" s="91" t="s">
        <v>10282</v>
      </c>
      <c r="D105" s="96" t="s">
        <v>10480</v>
      </c>
      <c r="E105" s="97" t="s">
        <v>10488</v>
      </c>
      <c r="F105" s="94" t="s">
        <v>10029</v>
      </c>
      <c r="G105" s="94" t="s">
        <v>9720</v>
      </c>
      <c r="H105" s="15" t="s">
        <v>9962</v>
      </c>
      <c r="I105" s="99">
        <f t="shared" si="2"/>
        <v>5</v>
      </c>
      <c r="J105" s="99">
        <v>5</v>
      </c>
      <c r="K105" s="94" t="s">
        <v>9780</v>
      </c>
      <c r="L105" s="94" t="s">
        <v>9780</v>
      </c>
      <c r="M105" s="94" t="s">
        <v>9780</v>
      </c>
      <c r="N105" s="94" t="str">
        <f t="shared" si="1"/>
        <v>Sim</v>
      </c>
      <c r="O105" s="15">
        <v>5</v>
      </c>
      <c r="P105" s="15">
        <v>35</v>
      </c>
    </row>
    <row r="106" spans="1:16" ht="17.25" customHeight="1" x14ac:dyDescent="0.35">
      <c r="A106" s="117"/>
      <c r="B106" s="91" t="s">
        <v>9865</v>
      </c>
      <c r="C106" s="91" t="s">
        <v>10282</v>
      </c>
      <c r="D106" s="96" t="s">
        <v>10481</v>
      </c>
      <c r="E106" s="97" t="s">
        <v>10489</v>
      </c>
      <c r="F106" s="94" t="s">
        <v>10029</v>
      </c>
      <c r="G106" s="94" t="s">
        <v>9720</v>
      </c>
      <c r="H106" s="15" t="s">
        <v>9962</v>
      </c>
      <c r="I106" s="99">
        <f t="shared" si="2"/>
        <v>5</v>
      </c>
      <c r="J106" s="99">
        <v>5</v>
      </c>
      <c r="K106" s="94" t="s">
        <v>9780</v>
      </c>
      <c r="L106" s="94" t="s">
        <v>9780</v>
      </c>
      <c r="M106" s="94" t="s">
        <v>9780</v>
      </c>
      <c r="N106" s="94" t="str">
        <f t="shared" si="1"/>
        <v>Sim</v>
      </c>
      <c r="O106" s="15">
        <v>0</v>
      </c>
      <c r="P106" s="15">
        <v>5</v>
      </c>
    </row>
    <row r="107" spans="1:16" ht="17.25" customHeight="1" x14ac:dyDescent="0.35">
      <c r="A107" s="117"/>
      <c r="B107" s="91" t="s">
        <v>9865</v>
      </c>
      <c r="C107" s="91" t="s">
        <v>10282</v>
      </c>
      <c r="D107" s="96" t="s">
        <v>10482</v>
      </c>
      <c r="E107" s="97" t="s">
        <v>10490</v>
      </c>
      <c r="F107" s="94" t="s">
        <v>9687</v>
      </c>
      <c r="G107" s="94" t="s">
        <v>9720</v>
      </c>
      <c r="H107" s="15" t="s">
        <v>9634</v>
      </c>
      <c r="I107" s="99">
        <f t="shared" si="2"/>
        <v>10</v>
      </c>
      <c r="J107" s="99">
        <v>10</v>
      </c>
      <c r="K107" s="94" t="s">
        <v>9780</v>
      </c>
      <c r="L107" s="94" t="s">
        <v>9780</v>
      </c>
      <c r="M107" s="94" t="s">
        <v>9780</v>
      </c>
      <c r="N107" s="94" t="str">
        <f t="shared" si="1"/>
        <v>Sim</v>
      </c>
      <c r="O107" s="15">
        <v>0</v>
      </c>
      <c r="P107" s="15">
        <v>35</v>
      </c>
    </row>
    <row r="108" spans="1:16" ht="17.25" customHeight="1" x14ac:dyDescent="0.35">
      <c r="A108" s="117"/>
      <c r="B108" s="91" t="s">
        <v>9865</v>
      </c>
      <c r="C108" s="91" t="s">
        <v>10282</v>
      </c>
      <c r="D108" s="96" t="s">
        <v>10483</v>
      </c>
      <c r="E108" s="97" t="s">
        <v>10491</v>
      </c>
      <c r="F108" s="94" t="s">
        <v>9687</v>
      </c>
      <c r="G108" s="94" t="s">
        <v>9720</v>
      </c>
      <c r="H108" s="15" t="s">
        <v>9634</v>
      </c>
      <c r="I108" s="99">
        <f t="shared" si="2"/>
        <v>10</v>
      </c>
      <c r="J108" s="99">
        <v>10</v>
      </c>
      <c r="K108" s="94" t="s">
        <v>9780</v>
      </c>
      <c r="L108" s="94" t="s">
        <v>9780</v>
      </c>
      <c r="M108" s="94" t="s">
        <v>9780</v>
      </c>
      <c r="N108" s="94" t="str">
        <f t="shared" si="1"/>
        <v>Sim</v>
      </c>
      <c r="O108" s="15">
        <v>0</v>
      </c>
      <c r="P108" s="15">
        <v>25</v>
      </c>
    </row>
    <row r="109" spans="1:16" ht="17.25" customHeight="1" x14ac:dyDescent="0.35">
      <c r="A109" s="117"/>
      <c r="B109" s="91" t="s">
        <v>9865</v>
      </c>
      <c r="C109" s="91" t="s">
        <v>10282</v>
      </c>
      <c r="D109" s="96" t="s">
        <v>10484</v>
      </c>
      <c r="E109" s="97" t="s">
        <v>10492</v>
      </c>
      <c r="F109" s="94" t="s">
        <v>10029</v>
      </c>
      <c r="G109" s="94" t="s">
        <v>9720</v>
      </c>
      <c r="H109" s="15" t="s">
        <v>9962</v>
      </c>
      <c r="I109" s="99">
        <f t="shared" si="2"/>
        <v>10</v>
      </c>
      <c r="J109" s="99">
        <v>10</v>
      </c>
      <c r="K109" s="94" t="s">
        <v>9780</v>
      </c>
      <c r="L109" s="94" t="s">
        <v>9780</v>
      </c>
      <c r="M109" s="94" t="s">
        <v>9780</v>
      </c>
      <c r="N109" s="94" t="str">
        <f t="shared" si="1"/>
        <v>Sim</v>
      </c>
      <c r="O109" s="15">
        <v>5</v>
      </c>
      <c r="P109" s="15">
        <v>35</v>
      </c>
    </row>
    <row r="110" spans="1:16" ht="17.25" customHeight="1" x14ac:dyDescent="0.35">
      <c r="A110" s="117"/>
      <c r="B110" s="91" t="s">
        <v>9865</v>
      </c>
      <c r="C110" s="91" t="s">
        <v>10282</v>
      </c>
      <c r="D110" s="96" t="s">
        <v>10485</v>
      </c>
      <c r="E110" s="97" t="s">
        <v>10493</v>
      </c>
      <c r="F110" s="94" t="s">
        <v>10029</v>
      </c>
      <c r="G110" s="94" t="s">
        <v>9720</v>
      </c>
      <c r="H110" s="15" t="s">
        <v>9962</v>
      </c>
      <c r="I110" s="99">
        <f t="shared" si="2"/>
        <v>0</v>
      </c>
      <c r="J110" s="99">
        <v>0</v>
      </c>
      <c r="K110" s="94" t="s">
        <v>9780</v>
      </c>
      <c r="L110" s="94" t="s">
        <v>9780</v>
      </c>
      <c r="M110" s="94" t="s">
        <v>9780</v>
      </c>
      <c r="N110" s="94" t="str">
        <f t="shared" si="1"/>
        <v>Sim</v>
      </c>
      <c r="O110" s="15">
        <v>0</v>
      </c>
      <c r="P110" s="15">
        <v>5</v>
      </c>
    </row>
    <row r="111" spans="1:16" ht="17.25" customHeight="1" x14ac:dyDescent="0.35">
      <c r="A111" s="117"/>
      <c r="B111" s="91" t="s">
        <v>9865</v>
      </c>
      <c r="C111" s="91" t="s">
        <v>10282</v>
      </c>
      <c r="D111" s="96" t="s">
        <v>10026</v>
      </c>
      <c r="E111" s="97" t="s">
        <v>10259</v>
      </c>
      <c r="F111" s="94" t="s">
        <v>9687</v>
      </c>
      <c r="G111" s="94" t="s">
        <v>9719</v>
      </c>
      <c r="H111" s="15" t="s">
        <v>9634</v>
      </c>
      <c r="I111" s="99">
        <v>4.3499999999999996</v>
      </c>
      <c r="J111" s="99">
        <v>4.3499999999999996</v>
      </c>
      <c r="K111" s="94" t="s">
        <v>9951</v>
      </c>
      <c r="L111" s="15" t="s">
        <v>9837</v>
      </c>
      <c r="M111" s="15" t="s">
        <v>10042</v>
      </c>
      <c r="N111" s="94" t="str">
        <f t="shared" si="1"/>
        <v>Sim</v>
      </c>
      <c r="O111" s="15">
        <v>0</v>
      </c>
      <c r="P111" s="15">
        <v>25</v>
      </c>
    </row>
    <row r="112" spans="1:16" ht="17.25" customHeight="1" x14ac:dyDescent="0.35">
      <c r="A112" s="117"/>
      <c r="B112" s="91" t="s">
        <v>9865</v>
      </c>
      <c r="C112" s="91" t="s">
        <v>10282</v>
      </c>
      <c r="D112" s="96" t="s">
        <v>10028</v>
      </c>
      <c r="E112" s="97" t="s">
        <v>10058</v>
      </c>
      <c r="F112" s="94" t="s">
        <v>10270</v>
      </c>
      <c r="G112" s="94" t="s">
        <v>9719</v>
      </c>
      <c r="H112" s="15" t="s">
        <v>10272</v>
      </c>
      <c r="I112" s="99" t="s">
        <v>10165</v>
      </c>
      <c r="J112" s="99" t="s">
        <v>10165</v>
      </c>
      <c r="K112" s="94" t="s">
        <v>9780</v>
      </c>
      <c r="L112" s="15" t="s">
        <v>9780</v>
      </c>
      <c r="M112" s="15" t="s">
        <v>9780</v>
      </c>
      <c r="N112" s="94" t="str">
        <f t="shared" si="1"/>
        <v>Sim</v>
      </c>
      <c r="O112" s="15" t="s">
        <v>9780</v>
      </c>
      <c r="P112" s="15" t="s">
        <v>9780</v>
      </c>
    </row>
    <row r="113" spans="1:16" ht="17.25" customHeight="1" x14ac:dyDescent="0.35">
      <c r="A113" s="117"/>
      <c r="B113" s="91" t="s">
        <v>9865</v>
      </c>
      <c r="C113" s="91" t="s">
        <v>10282</v>
      </c>
      <c r="D113" s="96" t="s">
        <v>10027</v>
      </c>
      <c r="E113" s="97" t="s">
        <v>10059</v>
      </c>
      <c r="F113" s="94" t="s">
        <v>9687</v>
      </c>
      <c r="G113" s="94" t="s">
        <v>9719</v>
      </c>
      <c r="H113" s="15" t="s">
        <v>9780</v>
      </c>
      <c r="I113" s="99">
        <v>0</v>
      </c>
      <c r="J113" s="99">
        <v>0</v>
      </c>
      <c r="K113" s="94" t="s">
        <v>9780</v>
      </c>
      <c r="L113" s="15" t="s">
        <v>9780</v>
      </c>
      <c r="M113" s="15" t="s">
        <v>9780</v>
      </c>
      <c r="N113" s="94" t="str">
        <f t="shared" si="1"/>
        <v>Sim</v>
      </c>
      <c r="O113" s="15">
        <v>0</v>
      </c>
      <c r="P113" s="15">
        <v>100000000</v>
      </c>
    </row>
    <row r="114" spans="1:16" s="18" customFormat="1" ht="17.25" customHeight="1" x14ac:dyDescent="0.35">
      <c r="A114" s="117"/>
      <c r="B114" s="91" t="s">
        <v>9865</v>
      </c>
      <c r="C114" s="91" t="s">
        <v>10282</v>
      </c>
      <c r="D114" s="96" t="s">
        <v>10030</v>
      </c>
      <c r="E114" s="97" t="s">
        <v>10261</v>
      </c>
      <c r="F114" s="94" t="s">
        <v>9687</v>
      </c>
      <c r="G114" s="94" t="s">
        <v>9719</v>
      </c>
      <c r="H114" s="15" t="s">
        <v>9634</v>
      </c>
      <c r="I114" s="99">
        <v>30</v>
      </c>
      <c r="J114" s="99">
        <v>30</v>
      </c>
      <c r="K114" s="94" t="s">
        <v>9951</v>
      </c>
      <c r="L114" s="15" t="s">
        <v>9837</v>
      </c>
      <c r="M114" s="15" t="s">
        <v>10049</v>
      </c>
      <c r="N114" s="94" t="str">
        <f t="shared" si="1"/>
        <v>Sim</v>
      </c>
      <c r="O114" s="15">
        <v>0</v>
      </c>
      <c r="P114" s="15">
        <v>100</v>
      </c>
    </row>
    <row r="115" spans="1:16" ht="17.25" customHeight="1" x14ac:dyDescent="0.35">
      <c r="A115" s="117"/>
      <c r="B115" s="91" t="s">
        <v>9865</v>
      </c>
      <c r="C115" s="91" t="s">
        <v>10282</v>
      </c>
      <c r="D115" s="96" t="s">
        <v>10031</v>
      </c>
      <c r="E115" s="97" t="s">
        <v>10262</v>
      </c>
      <c r="F115" s="94" t="s">
        <v>9642</v>
      </c>
      <c r="G115" s="94" t="s">
        <v>9719</v>
      </c>
      <c r="H115" s="15" t="s">
        <v>10043</v>
      </c>
      <c r="I115" s="99" t="s">
        <v>10044</v>
      </c>
      <c r="J115" s="99" t="s">
        <v>10044</v>
      </c>
      <c r="K115" s="94" t="s">
        <v>9951</v>
      </c>
      <c r="L115" s="15" t="s">
        <v>9837</v>
      </c>
      <c r="M115" s="15" t="s">
        <v>10050</v>
      </c>
      <c r="N115" s="94" t="str">
        <f t="shared" si="1"/>
        <v>Sim</v>
      </c>
      <c r="O115" s="15" t="s">
        <v>9780</v>
      </c>
      <c r="P115" s="15" t="s">
        <v>9780</v>
      </c>
    </row>
    <row r="116" spans="1:16" ht="17.25" customHeight="1" x14ac:dyDescent="0.35">
      <c r="A116" s="117"/>
      <c r="B116" s="91" t="s">
        <v>9865</v>
      </c>
      <c r="C116" s="91" t="s">
        <v>10282</v>
      </c>
      <c r="D116" s="96" t="s">
        <v>10032</v>
      </c>
      <c r="E116" s="97" t="s">
        <v>10269</v>
      </c>
      <c r="F116" s="94" t="s">
        <v>9687</v>
      </c>
      <c r="G116" s="94" t="s">
        <v>9719</v>
      </c>
      <c r="H116" s="15" t="s">
        <v>9634</v>
      </c>
      <c r="I116" s="99">
        <v>12.5</v>
      </c>
      <c r="J116" s="99">
        <v>12.5</v>
      </c>
      <c r="K116" s="94" t="s">
        <v>9951</v>
      </c>
      <c r="L116" s="15" t="s">
        <v>9837</v>
      </c>
      <c r="M116" s="15" t="s">
        <v>10051</v>
      </c>
      <c r="N116" s="94" t="str">
        <f t="shared" si="1"/>
        <v>Sim</v>
      </c>
      <c r="O116" s="15">
        <v>0</v>
      </c>
      <c r="P116" s="15">
        <v>35</v>
      </c>
    </row>
    <row r="117" spans="1:16" ht="17.25" customHeight="1" x14ac:dyDescent="0.35">
      <c r="A117" s="117"/>
      <c r="B117" s="91" t="s">
        <v>9865</v>
      </c>
      <c r="C117" s="91" t="s">
        <v>10282</v>
      </c>
      <c r="D117" s="96" t="s">
        <v>10033</v>
      </c>
      <c r="E117" s="97" t="s">
        <v>10263</v>
      </c>
      <c r="F117" s="94" t="s">
        <v>9687</v>
      </c>
      <c r="G117" s="94" t="s">
        <v>9719</v>
      </c>
      <c r="H117" s="15" t="s">
        <v>9634</v>
      </c>
      <c r="I117" s="99">
        <v>4.3499999999999996</v>
      </c>
      <c r="J117" s="99">
        <v>4.3499999999999996</v>
      </c>
      <c r="K117" s="94" t="s">
        <v>9951</v>
      </c>
      <c r="L117" s="15" t="s">
        <v>9837</v>
      </c>
      <c r="M117" s="15" t="s">
        <v>10052</v>
      </c>
      <c r="N117" s="94" t="str">
        <f t="shared" si="1"/>
        <v>Sim</v>
      </c>
      <c r="O117" s="15">
        <v>0</v>
      </c>
      <c r="P117" s="15">
        <v>25</v>
      </c>
    </row>
    <row r="118" spans="1:16" ht="17.25" customHeight="1" x14ac:dyDescent="0.35">
      <c r="A118" s="117"/>
      <c r="B118" s="91" t="s">
        <v>9865</v>
      </c>
      <c r="C118" s="91" t="s">
        <v>10282</v>
      </c>
      <c r="D118" s="96" t="s">
        <v>10034</v>
      </c>
      <c r="E118" s="97" t="s">
        <v>10264</v>
      </c>
      <c r="F118" s="94" t="s">
        <v>10029</v>
      </c>
      <c r="G118" s="94" t="s">
        <v>9719</v>
      </c>
      <c r="H118" s="15" t="s">
        <v>9962</v>
      </c>
      <c r="I118" s="99">
        <v>20</v>
      </c>
      <c r="J118" s="99">
        <v>20</v>
      </c>
      <c r="K118" s="94" t="s">
        <v>9951</v>
      </c>
      <c r="L118" s="15" t="s">
        <v>9837</v>
      </c>
      <c r="M118" s="15" t="s">
        <v>10053</v>
      </c>
      <c r="N118" s="94" t="str">
        <f t="shared" si="1"/>
        <v>Sim</v>
      </c>
      <c r="O118" s="15">
        <v>5</v>
      </c>
      <c r="P118" s="15">
        <v>35</v>
      </c>
    </row>
    <row r="119" spans="1:16" ht="17.25" customHeight="1" x14ac:dyDescent="0.35">
      <c r="A119" s="117"/>
      <c r="B119" s="91" t="s">
        <v>9865</v>
      </c>
      <c r="C119" s="91" t="s">
        <v>10282</v>
      </c>
      <c r="D119" s="96" t="s">
        <v>10035</v>
      </c>
      <c r="E119" s="97" t="s">
        <v>10265</v>
      </c>
      <c r="F119" s="94" t="s">
        <v>10029</v>
      </c>
      <c r="G119" s="94" t="s">
        <v>9719</v>
      </c>
      <c r="H119" s="15" t="s">
        <v>9962</v>
      </c>
      <c r="I119" s="99">
        <v>2</v>
      </c>
      <c r="J119" s="99">
        <v>2</v>
      </c>
      <c r="K119" s="94" t="s">
        <v>9951</v>
      </c>
      <c r="L119" s="15" t="s">
        <v>9837</v>
      </c>
      <c r="M119" s="15" t="s">
        <v>10054</v>
      </c>
      <c r="N119" s="94" t="str">
        <f t="shared" si="1"/>
        <v>Sim</v>
      </c>
      <c r="O119" s="15">
        <v>0</v>
      </c>
      <c r="P119" s="15">
        <v>5</v>
      </c>
    </row>
    <row r="120" spans="1:16" ht="17.25" customHeight="1" x14ac:dyDescent="0.35">
      <c r="A120" s="117"/>
      <c r="B120" s="91" t="s">
        <v>9865</v>
      </c>
      <c r="C120" s="91" t="s">
        <v>10282</v>
      </c>
      <c r="D120" s="96" t="s">
        <v>10494</v>
      </c>
      <c r="E120" s="97" t="s">
        <v>10502</v>
      </c>
      <c r="F120" s="94" t="s">
        <v>9687</v>
      </c>
      <c r="G120" s="94" t="s">
        <v>9720</v>
      </c>
      <c r="H120" s="15" t="s">
        <v>9634</v>
      </c>
      <c r="I120" s="99">
        <f>J120</f>
        <v>5</v>
      </c>
      <c r="J120" s="99">
        <v>5</v>
      </c>
      <c r="K120" s="94" t="s">
        <v>9780</v>
      </c>
      <c r="L120" s="94" t="s">
        <v>9780</v>
      </c>
      <c r="M120" s="94" t="s">
        <v>9780</v>
      </c>
      <c r="N120" s="94" t="str">
        <f t="shared" si="1"/>
        <v>Sim</v>
      </c>
      <c r="O120" s="15">
        <v>0</v>
      </c>
      <c r="P120" s="15">
        <v>35</v>
      </c>
    </row>
    <row r="121" spans="1:16" ht="17.25" customHeight="1" x14ac:dyDescent="0.35">
      <c r="A121" s="117"/>
      <c r="B121" s="91" t="s">
        <v>9865</v>
      </c>
      <c r="C121" s="91" t="s">
        <v>10282</v>
      </c>
      <c r="D121" s="96" t="s">
        <v>10495</v>
      </c>
      <c r="E121" s="97" t="s">
        <v>10503</v>
      </c>
      <c r="F121" s="94" t="s">
        <v>9687</v>
      </c>
      <c r="G121" s="94" t="s">
        <v>9720</v>
      </c>
      <c r="H121" s="15" t="s">
        <v>9634</v>
      </c>
      <c r="I121" s="99">
        <f t="shared" ref="I121:I127" si="3">J121</f>
        <v>5</v>
      </c>
      <c r="J121" s="99">
        <v>5</v>
      </c>
      <c r="K121" s="94" t="s">
        <v>9780</v>
      </c>
      <c r="L121" s="94" t="s">
        <v>9780</v>
      </c>
      <c r="M121" s="94" t="s">
        <v>9780</v>
      </c>
      <c r="N121" s="94" t="str">
        <f t="shared" si="1"/>
        <v>Sim</v>
      </c>
      <c r="O121" s="15">
        <v>0</v>
      </c>
      <c r="P121" s="15">
        <v>25</v>
      </c>
    </row>
    <row r="122" spans="1:16" ht="17.25" customHeight="1" x14ac:dyDescent="0.35">
      <c r="A122" s="117"/>
      <c r="B122" s="91" t="s">
        <v>9865</v>
      </c>
      <c r="C122" s="91" t="s">
        <v>10282</v>
      </c>
      <c r="D122" s="96" t="s">
        <v>10496</v>
      </c>
      <c r="E122" s="97" t="s">
        <v>10504</v>
      </c>
      <c r="F122" s="94" t="s">
        <v>10029</v>
      </c>
      <c r="G122" s="94" t="s">
        <v>9720</v>
      </c>
      <c r="H122" s="15" t="s">
        <v>9962</v>
      </c>
      <c r="I122" s="99">
        <f t="shared" si="3"/>
        <v>5</v>
      </c>
      <c r="J122" s="99">
        <v>5</v>
      </c>
      <c r="K122" s="94" t="s">
        <v>9780</v>
      </c>
      <c r="L122" s="94" t="s">
        <v>9780</v>
      </c>
      <c r="M122" s="94" t="s">
        <v>9780</v>
      </c>
      <c r="N122" s="94" t="str">
        <f t="shared" si="1"/>
        <v>Sim</v>
      </c>
      <c r="O122" s="15">
        <v>5</v>
      </c>
      <c r="P122" s="15">
        <v>35</v>
      </c>
    </row>
    <row r="123" spans="1:16" ht="17.25" customHeight="1" x14ac:dyDescent="0.35">
      <c r="A123" s="117"/>
      <c r="B123" s="91" t="s">
        <v>9865</v>
      </c>
      <c r="C123" s="91" t="s">
        <v>10282</v>
      </c>
      <c r="D123" s="96" t="s">
        <v>10497</v>
      </c>
      <c r="E123" s="97" t="s">
        <v>10505</v>
      </c>
      <c r="F123" s="94" t="s">
        <v>10029</v>
      </c>
      <c r="G123" s="94" t="s">
        <v>9720</v>
      </c>
      <c r="H123" s="15" t="s">
        <v>9962</v>
      </c>
      <c r="I123" s="99">
        <f t="shared" si="3"/>
        <v>5</v>
      </c>
      <c r="J123" s="99">
        <v>5</v>
      </c>
      <c r="K123" s="94" t="s">
        <v>9780</v>
      </c>
      <c r="L123" s="94" t="s">
        <v>9780</v>
      </c>
      <c r="M123" s="94" t="s">
        <v>9780</v>
      </c>
      <c r="N123" s="94" t="str">
        <f t="shared" si="1"/>
        <v>Sim</v>
      </c>
      <c r="O123" s="15">
        <v>0</v>
      </c>
      <c r="P123" s="15">
        <v>5</v>
      </c>
    </row>
    <row r="124" spans="1:16" ht="17.25" customHeight="1" x14ac:dyDescent="0.35">
      <c r="A124" s="117"/>
      <c r="B124" s="91" t="s">
        <v>9865</v>
      </c>
      <c r="C124" s="91" t="s">
        <v>10282</v>
      </c>
      <c r="D124" s="96" t="s">
        <v>10498</v>
      </c>
      <c r="E124" s="97" t="s">
        <v>10506</v>
      </c>
      <c r="F124" s="94" t="s">
        <v>9687</v>
      </c>
      <c r="G124" s="94" t="s">
        <v>9720</v>
      </c>
      <c r="H124" s="15" t="s">
        <v>9634</v>
      </c>
      <c r="I124" s="99">
        <f t="shared" si="3"/>
        <v>10</v>
      </c>
      <c r="J124" s="99">
        <v>10</v>
      </c>
      <c r="K124" s="94" t="s">
        <v>9780</v>
      </c>
      <c r="L124" s="94" t="s">
        <v>9780</v>
      </c>
      <c r="M124" s="94" t="s">
        <v>9780</v>
      </c>
      <c r="N124" s="94" t="str">
        <f t="shared" si="1"/>
        <v>Sim</v>
      </c>
      <c r="O124" s="15">
        <v>0</v>
      </c>
      <c r="P124" s="15">
        <v>35</v>
      </c>
    </row>
    <row r="125" spans="1:16" ht="17.25" customHeight="1" x14ac:dyDescent="0.35">
      <c r="A125" s="117"/>
      <c r="B125" s="91" t="s">
        <v>9865</v>
      </c>
      <c r="C125" s="91" t="s">
        <v>10282</v>
      </c>
      <c r="D125" s="96" t="s">
        <v>10499</v>
      </c>
      <c r="E125" s="97" t="s">
        <v>10507</v>
      </c>
      <c r="F125" s="94" t="s">
        <v>9687</v>
      </c>
      <c r="G125" s="94" t="s">
        <v>9720</v>
      </c>
      <c r="H125" s="15" t="s">
        <v>9634</v>
      </c>
      <c r="I125" s="99">
        <f t="shared" si="3"/>
        <v>10</v>
      </c>
      <c r="J125" s="99">
        <v>10</v>
      </c>
      <c r="K125" s="94" t="s">
        <v>9780</v>
      </c>
      <c r="L125" s="94" t="s">
        <v>9780</v>
      </c>
      <c r="M125" s="94" t="s">
        <v>9780</v>
      </c>
      <c r="N125" s="94" t="str">
        <f t="shared" si="1"/>
        <v>Sim</v>
      </c>
      <c r="O125" s="15">
        <v>0</v>
      </c>
      <c r="P125" s="15">
        <v>25</v>
      </c>
    </row>
    <row r="126" spans="1:16" ht="17.25" customHeight="1" x14ac:dyDescent="0.35">
      <c r="A126" s="117"/>
      <c r="B126" s="91" t="s">
        <v>9865</v>
      </c>
      <c r="C126" s="91" t="s">
        <v>10282</v>
      </c>
      <c r="D126" s="96" t="s">
        <v>10500</v>
      </c>
      <c r="E126" s="97" t="s">
        <v>10508</v>
      </c>
      <c r="F126" s="94" t="s">
        <v>10029</v>
      </c>
      <c r="G126" s="94" t="s">
        <v>9720</v>
      </c>
      <c r="H126" s="15" t="s">
        <v>9962</v>
      </c>
      <c r="I126" s="99">
        <f t="shared" si="3"/>
        <v>10</v>
      </c>
      <c r="J126" s="99">
        <v>10</v>
      </c>
      <c r="K126" s="94" t="s">
        <v>9780</v>
      </c>
      <c r="L126" s="94" t="s">
        <v>9780</v>
      </c>
      <c r="M126" s="94" t="s">
        <v>9780</v>
      </c>
      <c r="N126" s="94" t="str">
        <f t="shared" si="1"/>
        <v>Sim</v>
      </c>
      <c r="O126" s="15">
        <v>5</v>
      </c>
      <c r="P126" s="15">
        <v>35</v>
      </c>
    </row>
    <row r="127" spans="1:16" ht="17.25" customHeight="1" x14ac:dyDescent="0.35">
      <c r="A127" s="117"/>
      <c r="B127" s="91" t="s">
        <v>9865</v>
      </c>
      <c r="C127" s="91" t="s">
        <v>10282</v>
      </c>
      <c r="D127" s="96" t="s">
        <v>10501</v>
      </c>
      <c r="E127" s="97" t="s">
        <v>10509</v>
      </c>
      <c r="F127" s="94" t="s">
        <v>10029</v>
      </c>
      <c r="G127" s="94" t="s">
        <v>9720</v>
      </c>
      <c r="H127" s="15" t="s">
        <v>9962</v>
      </c>
      <c r="I127" s="99">
        <f t="shared" si="3"/>
        <v>0</v>
      </c>
      <c r="J127" s="99">
        <v>0</v>
      </c>
      <c r="K127" s="94" t="s">
        <v>9780</v>
      </c>
      <c r="L127" s="94" t="s">
        <v>9780</v>
      </c>
      <c r="M127" s="94" t="s">
        <v>9780</v>
      </c>
      <c r="N127" s="94" t="str">
        <f t="shared" si="1"/>
        <v>Sim</v>
      </c>
      <c r="O127" s="15">
        <v>0</v>
      </c>
      <c r="P127" s="15">
        <v>5</v>
      </c>
    </row>
    <row r="128" spans="1:16" ht="17.25" customHeight="1" x14ac:dyDescent="0.35">
      <c r="A128" s="117"/>
      <c r="B128" s="91" t="s">
        <v>9865</v>
      </c>
      <c r="C128" s="91" t="s">
        <v>10282</v>
      </c>
      <c r="D128" s="96" t="s">
        <v>10036</v>
      </c>
      <c r="E128" s="97" t="s">
        <v>10266</v>
      </c>
      <c r="F128" s="94" t="s">
        <v>9687</v>
      </c>
      <c r="G128" s="94" t="s">
        <v>9719</v>
      </c>
      <c r="H128" s="15" t="s">
        <v>9634</v>
      </c>
      <c r="I128" s="99">
        <v>4.3499999999999996</v>
      </c>
      <c r="J128" s="99">
        <v>4.3499999999999996</v>
      </c>
      <c r="K128" s="94" t="s">
        <v>9951</v>
      </c>
      <c r="L128" s="15" t="s">
        <v>9837</v>
      </c>
      <c r="M128" s="15" t="s">
        <v>10055</v>
      </c>
      <c r="N128" s="94" t="str">
        <f t="shared" si="1"/>
        <v>Sim</v>
      </c>
      <c r="O128" s="15">
        <v>0</v>
      </c>
      <c r="P128" s="15">
        <v>25</v>
      </c>
    </row>
    <row r="129" spans="1:16" ht="17.25" customHeight="1" x14ac:dyDescent="0.35">
      <c r="A129" s="117"/>
      <c r="B129" s="91" t="s">
        <v>9865</v>
      </c>
      <c r="C129" s="91" t="s">
        <v>10282</v>
      </c>
      <c r="D129" s="96" t="s">
        <v>10037</v>
      </c>
      <c r="E129" s="97" t="s">
        <v>10056</v>
      </c>
      <c r="F129" s="94" t="s">
        <v>10270</v>
      </c>
      <c r="G129" s="94" t="s">
        <v>9719</v>
      </c>
      <c r="H129" s="15" t="s">
        <v>10272</v>
      </c>
      <c r="I129" s="99" t="s">
        <v>10165</v>
      </c>
      <c r="J129" s="99" t="s">
        <v>10165</v>
      </c>
      <c r="K129" s="94" t="s">
        <v>9780</v>
      </c>
      <c r="L129" s="15" t="s">
        <v>9780</v>
      </c>
      <c r="M129" s="15" t="s">
        <v>9780</v>
      </c>
      <c r="N129" s="94" t="str">
        <f t="shared" si="1"/>
        <v>Sim</v>
      </c>
      <c r="O129" s="15" t="s">
        <v>9780</v>
      </c>
      <c r="P129" s="15" t="s">
        <v>9780</v>
      </c>
    </row>
    <row r="130" spans="1:16" ht="17.25" customHeight="1" x14ac:dyDescent="0.35">
      <c r="A130" s="117"/>
      <c r="B130" s="91" t="s">
        <v>9865</v>
      </c>
      <c r="C130" s="91" t="s">
        <v>10282</v>
      </c>
      <c r="D130" s="96" t="s">
        <v>10038</v>
      </c>
      <c r="E130" s="97" t="s">
        <v>10057</v>
      </c>
      <c r="F130" s="94" t="s">
        <v>9687</v>
      </c>
      <c r="G130" s="94" t="s">
        <v>9719</v>
      </c>
      <c r="H130" s="15" t="s">
        <v>9780</v>
      </c>
      <c r="I130" s="99">
        <v>0</v>
      </c>
      <c r="J130" s="99">
        <v>0</v>
      </c>
      <c r="K130" s="94" t="s">
        <v>9780</v>
      </c>
      <c r="L130" s="15" t="s">
        <v>9780</v>
      </c>
      <c r="M130" s="15" t="s">
        <v>9780</v>
      </c>
      <c r="N130" s="94" t="str">
        <f t="shared" si="1"/>
        <v>Sim</v>
      </c>
      <c r="O130" s="15">
        <v>0</v>
      </c>
      <c r="P130" s="15">
        <v>100000000</v>
      </c>
    </row>
    <row r="131" spans="1:16" s="18" customFormat="1" ht="17.25" customHeight="1" x14ac:dyDescent="0.35">
      <c r="A131" s="117" t="s">
        <v>9808</v>
      </c>
      <c r="B131" s="91" t="s">
        <v>9865</v>
      </c>
      <c r="C131" s="91" t="s">
        <v>10287</v>
      </c>
      <c r="D131" s="96" t="s">
        <v>9797</v>
      </c>
      <c r="E131" s="97" t="s">
        <v>10178</v>
      </c>
      <c r="F131" s="94" t="s">
        <v>9687</v>
      </c>
      <c r="G131" s="94" t="s">
        <v>9719</v>
      </c>
      <c r="H131" s="15" t="s">
        <v>9863</v>
      </c>
      <c r="I131" s="99">
        <v>155</v>
      </c>
      <c r="J131" s="99">
        <v>155</v>
      </c>
      <c r="K131" s="94" t="s">
        <v>9951</v>
      </c>
      <c r="L131" s="15" t="s">
        <v>9851</v>
      </c>
      <c r="M131" s="15" t="s">
        <v>9852</v>
      </c>
      <c r="N131" s="94" t="str">
        <f t="shared" si="1"/>
        <v>Sim</v>
      </c>
      <c r="O131" s="15">
        <v>140</v>
      </c>
      <c r="P131" s="15">
        <v>160</v>
      </c>
    </row>
    <row r="132" spans="1:16" ht="17.25" customHeight="1" x14ac:dyDescent="0.35">
      <c r="A132" s="117"/>
      <c r="B132" s="91" t="s">
        <v>9865</v>
      </c>
      <c r="C132" s="91" t="s">
        <v>10287</v>
      </c>
      <c r="D132" s="96" t="s">
        <v>9798</v>
      </c>
      <c r="E132" s="97" t="s">
        <v>10179</v>
      </c>
      <c r="F132" s="94" t="s">
        <v>9687</v>
      </c>
      <c r="G132" s="94" t="s">
        <v>9719</v>
      </c>
      <c r="H132" s="15" t="s">
        <v>9634</v>
      </c>
      <c r="I132" s="28">
        <v>100</v>
      </c>
      <c r="J132" s="28">
        <v>100</v>
      </c>
      <c r="K132" s="94" t="s">
        <v>9951</v>
      </c>
      <c r="L132" s="15" t="s">
        <v>9851</v>
      </c>
      <c r="M132" s="15" t="s">
        <v>9853</v>
      </c>
      <c r="N132" s="94" t="str">
        <f t="shared" si="1"/>
        <v>Sim</v>
      </c>
      <c r="O132" s="15">
        <v>50</v>
      </c>
      <c r="P132" s="15">
        <v>100</v>
      </c>
    </row>
    <row r="133" spans="1:16" ht="17.25" customHeight="1" x14ac:dyDescent="0.35">
      <c r="A133" s="117"/>
      <c r="B133" s="91" t="s">
        <v>9865</v>
      </c>
      <c r="C133" s="91" t="s">
        <v>10287</v>
      </c>
      <c r="D133" s="96" t="s">
        <v>9799</v>
      </c>
      <c r="E133" s="97" t="s">
        <v>10180</v>
      </c>
      <c r="F133" s="94" t="s">
        <v>9687</v>
      </c>
      <c r="G133" s="94" t="s">
        <v>9719</v>
      </c>
      <c r="H133" s="15" t="s">
        <v>9634</v>
      </c>
      <c r="I133" s="28">
        <v>1</v>
      </c>
      <c r="J133" s="28">
        <v>1</v>
      </c>
      <c r="K133" s="94" t="s">
        <v>9951</v>
      </c>
      <c r="L133" s="15" t="s">
        <v>9851</v>
      </c>
      <c r="M133" s="15" t="s">
        <v>9854</v>
      </c>
      <c r="N133" s="94" t="str">
        <f t="shared" si="1"/>
        <v>Sim</v>
      </c>
      <c r="O133" s="15">
        <v>0</v>
      </c>
      <c r="P133" s="15">
        <v>10</v>
      </c>
    </row>
    <row r="134" spans="1:16" ht="17.25" customHeight="1" x14ac:dyDescent="0.35">
      <c r="A134" s="117"/>
      <c r="B134" s="91" t="s">
        <v>9865</v>
      </c>
      <c r="C134" s="91" t="s">
        <v>10287</v>
      </c>
      <c r="D134" s="96" t="s">
        <v>9800</v>
      </c>
      <c r="E134" s="97" t="s">
        <v>10181</v>
      </c>
      <c r="F134" s="94" t="s">
        <v>9687</v>
      </c>
      <c r="G134" s="94" t="s">
        <v>9719</v>
      </c>
      <c r="H134" s="15" t="s">
        <v>9634</v>
      </c>
      <c r="I134" s="28">
        <v>5</v>
      </c>
      <c r="J134" s="28">
        <v>5</v>
      </c>
      <c r="K134" s="94" t="s">
        <v>9951</v>
      </c>
      <c r="L134" s="15" t="s">
        <v>9851</v>
      </c>
      <c r="M134" s="15" t="s">
        <v>9855</v>
      </c>
      <c r="N134" s="94" t="str">
        <f t="shared" si="1"/>
        <v>Sim</v>
      </c>
      <c r="O134" s="15">
        <v>0</v>
      </c>
      <c r="P134" s="15">
        <v>15</v>
      </c>
    </row>
    <row r="135" spans="1:16" ht="17.25" customHeight="1" x14ac:dyDescent="0.35">
      <c r="A135" s="117"/>
      <c r="B135" s="91" t="s">
        <v>9865</v>
      </c>
      <c r="C135" s="91" t="s">
        <v>10287</v>
      </c>
      <c r="D135" s="96" t="s">
        <v>9801</v>
      </c>
      <c r="E135" s="97" t="s">
        <v>10188</v>
      </c>
      <c r="F135" s="94" t="s">
        <v>9687</v>
      </c>
      <c r="G135" s="94" t="s">
        <v>9719</v>
      </c>
      <c r="H135" s="15" t="s">
        <v>9634</v>
      </c>
      <c r="I135" s="28">
        <v>2.5</v>
      </c>
      <c r="J135" s="28">
        <v>2.5</v>
      </c>
      <c r="K135" s="94" t="s">
        <v>9951</v>
      </c>
      <c r="L135" s="15" t="s">
        <v>9851</v>
      </c>
      <c r="M135" s="15" t="s">
        <v>9856</v>
      </c>
      <c r="N135" s="94" t="str">
        <f t="shared" si="1"/>
        <v>Sim</v>
      </c>
      <c r="O135" s="15">
        <v>0</v>
      </c>
      <c r="P135" s="15">
        <v>10</v>
      </c>
    </row>
    <row r="136" spans="1:16" ht="17.25" customHeight="1" x14ac:dyDescent="0.35">
      <c r="A136" s="117"/>
      <c r="B136" s="91" t="s">
        <v>9865</v>
      </c>
      <c r="C136" s="91" t="s">
        <v>10287</v>
      </c>
      <c r="D136" s="96" t="s">
        <v>9802</v>
      </c>
      <c r="E136" s="97" t="s">
        <v>10182</v>
      </c>
      <c r="F136" s="94" t="s">
        <v>9687</v>
      </c>
      <c r="G136" s="94" t="s">
        <v>9719</v>
      </c>
      <c r="H136" s="15" t="s">
        <v>9864</v>
      </c>
      <c r="I136" s="28">
        <v>300000</v>
      </c>
      <c r="J136" s="28">
        <v>300000</v>
      </c>
      <c r="K136" s="94" t="s">
        <v>9951</v>
      </c>
      <c r="L136" s="15" t="s">
        <v>9851</v>
      </c>
      <c r="M136" s="15" t="s">
        <v>9857</v>
      </c>
      <c r="N136" s="94" t="str">
        <f t="shared" si="1"/>
        <v>Sim</v>
      </c>
      <c r="O136" s="15">
        <v>0</v>
      </c>
      <c r="P136" s="15">
        <v>1000000</v>
      </c>
    </row>
    <row r="137" spans="1:16" ht="17.25" customHeight="1" x14ac:dyDescent="0.35">
      <c r="A137" s="117"/>
      <c r="B137" s="91" t="s">
        <v>9865</v>
      </c>
      <c r="C137" s="91" t="s">
        <v>10287</v>
      </c>
      <c r="D137" s="96" t="s">
        <v>9803</v>
      </c>
      <c r="E137" s="97" t="s">
        <v>10183</v>
      </c>
      <c r="F137" s="94" t="s">
        <v>9687</v>
      </c>
      <c r="G137" s="94" t="s">
        <v>9719</v>
      </c>
      <c r="H137" s="15" t="s">
        <v>9634</v>
      </c>
      <c r="I137" s="28">
        <v>30</v>
      </c>
      <c r="J137" s="28">
        <v>30</v>
      </c>
      <c r="K137" s="94" t="s">
        <v>9951</v>
      </c>
      <c r="L137" s="15" t="s">
        <v>9851</v>
      </c>
      <c r="M137" s="15" t="s">
        <v>9858</v>
      </c>
      <c r="N137" s="94" t="str">
        <f t="shared" si="1"/>
        <v>Sim</v>
      </c>
      <c r="O137" s="15">
        <v>0</v>
      </c>
      <c r="P137" s="15">
        <v>75</v>
      </c>
    </row>
    <row r="138" spans="1:16" ht="17.25" customHeight="1" x14ac:dyDescent="0.35">
      <c r="A138" s="117"/>
      <c r="B138" s="91" t="s">
        <v>9865</v>
      </c>
      <c r="C138" s="91" t="s">
        <v>10287</v>
      </c>
      <c r="D138" s="96" t="s">
        <v>9804</v>
      </c>
      <c r="E138" s="97" t="s">
        <v>10184</v>
      </c>
      <c r="F138" s="94" t="s">
        <v>9687</v>
      </c>
      <c r="G138" s="94" t="s">
        <v>9719</v>
      </c>
      <c r="H138" s="15" t="s">
        <v>9634</v>
      </c>
      <c r="I138" s="28">
        <v>50</v>
      </c>
      <c r="J138" s="28">
        <v>50</v>
      </c>
      <c r="K138" s="94" t="s">
        <v>9951</v>
      </c>
      <c r="L138" s="15" t="s">
        <v>9851</v>
      </c>
      <c r="M138" s="15" t="s">
        <v>9859</v>
      </c>
      <c r="N138" s="94" t="str">
        <f t="shared" si="1"/>
        <v>Sim</v>
      </c>
      <c r="O138" s="15">
        <v>0</v>
      </c>
      <c r="P138" s="15">
        <v>100</v>
      </c>
    </row>
    <row r="139" spans="1:16" ht="17.25" customHeight="1" x14ac:dyDescent="0.35">
      <c r="A139" s="117"/>
      <c r="B139" s="91" t="s">
        <v>9865</v>
      </c>
      <c r="C139" s="91" t="s">
        <v>10287</v>
      </c>
      <c r="D139" s="96" t="s">
        <v>9805</v>
      </c>
      <c r="E139" s="97" t="s">
        <v>10185</v>
      </c>
      <c r="F139" s="94" t="s">
        <v>9687</v>
      </c>
      <c r="G139" s="94" t="s">
        <v>9719</v>
      </c>
      <c r="H139" s="15" t="s">
        <v>9864</v>
      </c>
      <c r="I139" s="28">
        <v>10000</v>
      </c>
      <c r="J139" s="28">
        <v>10000</v>
      </c>
      <c r="K139" s="94" t="s">
        <v>9951</v>
      </c>
      <c r="L139" s="15" t="s">
        <v>9851</v>
      </c>
      <c r="M139" s="15" t="s">
        <v>9860</v>
      </c>
      <c r="N139" s="94" t="str">
        <f t="shared" si="1"/>
        <v>Sim</v>
      </c>
      <c r="O139" s="15">
        <v>0</v>
      </c>
      <c r="P139" s="15">
        <v>100000</v>
      </c>
    </row>
    <row r="140" spans="1:16" ht="17.25" customHeight="1" x14ac:dyDescent="0.35">
      <c r="A140" s="117"/>
      <c r="B140" s="91" t="s">
        <v>9865</v>
      </c>
      <c r="C140" s="91" t="s">
        <v>10287</v>
      </c>
      <c r="D140" s="96" t="s">
        <v>9806</v>
      </c>
      <c r="E140" s="97" t="s">
        <v>10186</v>
      </c>
      <c r="F140" s="94" t="s">
        <v>9687</v>
      </c>
      <c r="G140" s="94" t="s">
        <v>9719</v>
      </c>
      <c r="H140" s="15" t="s">
        <v>9864</v>
      </c>
      <c r="I140" s="28">
        <v>100</v>
      </c>
      <c r="J140" s="28">
        <v>100</v>
      </c>
      <c r="K140" s="94" t="s">
        <v>9951</v>
      </c>
      <c r="L140" s="15" t="s">
        <v>9851</v>
      </c>
      <c r="M140" s="15" t="s">
        <v>9861</v>
      </c>
      <c r="N140" s="94" t="str">
        <f t="shared" si="1"/>
        <v>Sim</v>
      </c>
      <c r="O140" s="15">
        <v>0</v>
      </c>
      <c r="P140" s="15">
        <v>500</v>
      </c>
    </row>
    <row r="141" spans="1:16" ht="17.25" customHeight="1" x14ac:dyDescent="0.35">
      <c r="A141" s="117"/>
      <c r="B141" s="91" t="s">
        <v>9865</v>
      </c>
      <c r="C141" s="91" t="s">
        <v>10287</v>
      </c>
      <c r="D141" s="96" t="s">
        <v>9807</v>
      </c>
      <c r="E141" s="97" t="s">
        <v>10187</v>
      </c>
      <c r="F141" s="94" t="s">
        <v>9687</v>
      </c>
      <c r="G141" s="94" t="s">
        <v>9719</v>
      </c>
      <c r="H141" s="15" t="s">
        <v>9864</v>
      </c>
      <c r="I141" s="28">
        <v>103</v>
      </c>
      <c r="J141" s="28">
        <v>103</v>
      </c>
      <c r="K141" s="94" t="s">
        <v>9951</v>
      </c>
      <c r="L141" s="15" t="s">
        <v>9851</v>
      </c>
      <c r="M141" s="15" t="s">
        <v>9862</v>
      </c>
      <c r="N141" s="94" t="str">
        <f t="shared" si="1"/>
        <v>Sim</v>
      </c>
      <c r="O141" s="15">
        <v>0</v>
      </c>
      <c r="P141" s="15">
        <v>500</v>
      </c>
    </row>
    <row r="142" spans="1:16" ht="17.25" customHeight="1" x14ac:dyDescent="0.35">
      <c r="A142" s="90" t="s">
        <v>10251</v>
      </c>
      <c r="B142" s="91" t="s">
        <v>9866</v>
      </c>
      <c r="C142" s="91" t="s">
        <v>10288</v>
      </c>
      <c r="D142" s="96" t="s">
        <v>10252</v>
      </c>
      <c r="E142" s="97" t="s">
        <v>10253</v>
      </c>
      <c r="F142" s="94" t="s">
        <v>9687</v>
      </c>
      <c r="G142" s="94" t="s">
        <v>9719</v>
      </c>
      <c r="H142" s="15" t="s">
        <v>9634</v>
      </c>
      <c r="I142" s="28">
        <v>100</v>
      </c>
      <c r="J142" s="28">
        <v>100</v>
      </c>
      <c r="K142" s="27" t="s">
        <v>9968</v>
      </c>
      <c r="L142" s="15" t="s">
        <v>9874</v>
      </c>
      <c r="M142" s="15" t="s">
        <v>9969</v>
      </c>
      <c r="N142" s="94" t="str">
        <f t="shared" si="1"/>
        <v>Sim</v>
      </c>
      <c r="O142" s="15">
        <v>0</v>
      </c>
      <c r="P142" s="15">
        <v>100</v>
      </c>
    </row>
    <row r="143" spans="1:16" ht="17.25" customHeight="1" x14ac:dyDescent="0.35">
      <c r="A143" s="117"/>
      <c r="B143" s="91" t="s">
        <v>9866</v>
      </c>
      <c r="C143" s="91" t="s">
        <v>10289</v>
      </c>
      <c r="D143" s="96" t="s">
        <v>10060</v>
      </c>
      <c r="E143" s="97" t="s">
        <v>10189</v>
      </c>
      <c r="F143" s="94" t="s">
        <v>9687</v>
      </c>
      <c r="G143" s="94" t="s">
        <v>9719</v>
      </c>
      <c r="H143" s="15" t="s">
        <v>9813</v>
      </c>
      <c r="I143" s="99">
        <v>390</v>
      </c>
      <c r="J143" s="99">
        <v>390</v>
      </c>
      <c r="K143" s="27" t="s">
        <v>9968</v>
      </c>
      <c r="L143" s="15" t="s">
        <v>9874</v>
      </c>
      <c r="M143" s="15" t="s">
        <v>9971</v>
      </c>
      <c r="N143" s="94" t="str">
        <f t="shared" si="1"/>
        <v>Sim</v>
      </c>
      <c r="O143" s="15">
        <v>250</v>
      </c>
      <c r="P143" s="15">
        <v>750</v>
      </c>
    </row>
    <row r="144" spans="1:16" ht="17.25" customHeight="1" x14ac:dyDescent="0.35">
      <c r="A144" s="117"/>
      <c r="B144" s="91" t="s">
        <v>9866</v>
      </c>
      <c r="C144" s="91" t="s">
        <v>10289</v>
      </c>
      <c r="D144" s="96" t="s">
        <v>10061</v>
      </c>
      <c r="E144" s="97" t="s">
        <v>10190</v>
      </c>
      <c r="F144" s="94" t="s">
        <v>9687</v>
      </c>
      <c r="G144" s="94" t="s">
        <v>9719</v>
      </c>
      <c r="H144" s="15" t="s">
        <v>9813</v>
      </c>
      <c r="I144" s="99">
        <v>549.4</v>
      </c>
      <c r="J144" s="99">
        <v>549.4</v>
      </c>
      <c r="K144" s="27" t="s">
        <v>9968</v>
      </c>
      <c r="L144" s="15" t="s">
        <v>9874</v>
      </c>
      <c r="M144" s="15" t="s">
        <v>10166</v>
      </c>
      <c r="N144" s="94" t="str">
        <f t="shared" si="1"/>
        <v>Sim</v>
      </c>
      <c r="O144" s="15">
        <v>250</v>
      </c>
      <c r="P144" s="15">
        <v>750</v>
      </c>
    </row>
    <row r="145" spans="1:16" ht="17.25" customHeight="1" x14ac:dyDescent="0.35">
      <c r="A145" s="117"/>
      <c r="B145" s="91" t="s">
        <v>9866</v>
      </c>
      <c r="C145" s="91" t="s">
        <v>10289</v>
      </c>
      <c r="D145" s="96" t="s">
        <v>10062</v>
      </c>
      <c r="E145" s="97" t="s">
        <v>10191</v>
      </c>
      <c r="F145" s="94" t="s">
        <v>9687</v>
      </c>
      <c r="G145" s="94" t="s">
        <v>9719</v>
      </c>
      <c r="H145" s="15" t="s">
        <v>9867</v>
      </c>
      <c r="I145" s="99">
        <v>2</v>
      </c>
      <c r="J145" s="99">
        <v>2</v>
      </c>
      <c r="K145" s="27" t="s">
        <v>9968</v>
      </c>
      <c r="L145" s="15" t="s">
        <v>9874</v>
      </c>
      <c r="M145" s="15" t="s">
        <v>10167</v>
      </c>
      <c r="N145" s="94" t="str">
        <f t="shared" si="1"/>
        <v>Sim</v>
      </c>
      <c r="O145" s="15">
        <v>1</v>
      </c>
      <c r="P145" s="15">
        <v>10</v>
      </c>
    </row>
    <row r="146" spans="1:16" ht="17.25" customHeight="1" x14ac:dyDescent="0.35">
      <c r="A146" s="117"/>
      <c r="B146" s="91" t="s">
        <v>9866</v>
      </c>
      <c r="C146" s="91" t="s">
        <v>10289</v>
      </c>
      <c r="D146" s="96" t="s">
        <v>10063</v>
      </c>
      <c r="E146" s="97" t="s">
        <v>10192</v>
      </c>
      <c r="F146" s="94" t="s">
        <v>9687</v>
      </c>
      <c r="G146" s="94" t="s">
        <v>9719</v>
      </c>
      <c r="H146" s="15" t="s">
        <v>9794</v>
      </c>
      <c r="I146" s="99">
        <v>0</v>
      </c>
      <c r="J146" s="99">
        <v>0</v>
      </c>
      <c r="K146" s="27" t="s">
        <v>9968</v>
      </c>
      <c r="L146" s="15" t="s">
        <v>9874</v>
      </c>
      <c r="M146" s="15" t="s">
        <v>9972</v>
      </c>
      <c r="N146" s="94" t="str">
        <f t="shared" si="1"/>
        <v>Sim</v>
      </c>
      <c r="O146" s="15">
        <v>0</v>
      </c>
      <c r="P146" s="15">
        <v>500</v>
      </c>
    </row>
    <row r="147" spans="1:16" ht="17.25" customHeight="1" x14ac:dyDescent="0.35">
      <c r="A147" s="117"/>
      <c r="B147" s="91" t="s">
        <v>9866</v>
      </c>
      <c r="C147" s="91" t="s">
        <v>10289</v>
      </c>
      <c r="D147" s="96" t="s">
        <v>10064</v>
      </c>
      <c r="E147" s="97" t="s">
        <v>10193</v>
      </c>
      <c r="F147" s="94" t="s">
        <v>9687</v>
      </c>
      <c r="G147" s="94" t="s">
        <v>9719</v>
      </c>
      <c r="H147" s="15" t="s">
        <v>9794</v>
      </c>
      <c r="I147" s="99">
        <v>0</v>
      </c>
      <c r="J147" s="99">
        <v>0</v>
      </c>
      <c r="K147" s="27" t="s">
        <v>9968</v>
      </c>
      <c r="L147" s="15" t="s">
        <v>9874</v>
      </c>
      <c r="M147" s="15" t="s">
        <v>10168</v>
      </c>
      <c r="N147" s="94" t="str">
        <f t="shared" si="1"/>
        <v>Sim</v>
      </c>
      <c r="O147" s="15">
        <v>0</v>
      </c>
      <c r="P147" s="15">
        <v>50</v>
      </c>
    </row>
    <row r="148" spans="1:16" s="18" customFormat="1" ht="17.25" customHeight="1" x14ac:dyDescent="0.35">
      <c r="A148" s="117"/>
      <c r="B148" s="91" t="s">
        <v>9866</v>
      </c>
      <c r="C148" s="91" t="s">
        <v>10289</v>
      </c>
      <c r="D148" s="96" t="s">
        <v>10065</v>
      </c>
      <c r="E148" s="97" t="s">
        <v>10194</v>
      </c>
      <c r="F148" s="94" t="s">
        <v>10270</v>
      </c>
      <c r="G148" s="94" t="s">
        <v>9719</v>
      </c>
      <c r="H148" s="15" t="s">
        <v>10271</v>
      </c>
      <c r="I148" s="28" t="s">
        <v>9719</v>
      </c>
      <c r="J148" s="28" t="s">
        <v>9719</v>
      </c>
      <c r="K148" s="27" t="s">
        <v>9968</v>
      </c>
      <c r="L148" s="15" t="s">
        <v>9874</v>
      </c>
      <c r="M148" s="15" t="s">
        <v>9973</v>
      </c>
      <c r="N148" s="94" t="str">
        <f t="shared" si="1"/>
        <v>Sim</v>
      </c>
      <c r="O148" s="15" t="s">
        <v>9780</v>
      </c>
      <c r="P148" s="15" t="s">
        <v>10267</v>
      </c>
    </row>
    <row r="149" spans="1:16" ht="17.25" customHeight="1" x14ac:dyDescent="0.35">
      <c r="A149" s="117"/>
      <c r="B149" s="91" t="s">
        <v>9866</v>
      </c>
      <c r="C149" s="91" t="s">
        <v>10289</v>
      </c>
      <c r="D149" s="96" t="s">
        <v>10066</v>
      </c>
      <c r="E149" s="97" t="s">
        <v>10195</v>
      </c>
      <c r="F149" s="94" t="s">
        <v>9687</v>
      </c>
      <c r="G149" s="94" t="s">
        <v>9719</v>
      </c>
      <c r="H149" s="15" t="s">
        <v>9634</v>
      </c>
      <c r="I149" s="99">
        <v>0.25</v>
      </c>
      <c r="J149" s="99">
        <v>0.25</v>
      </c>
      <c r="K149" s="27" t="s">
        <v>9968</v>
      </c>
      <c r="L149" s="15" t="s">
        <v>9874</v>
      </c>
      <c r="M149" s="15" t="s">
        <v>9974</v>
      </c>
      <c r="N149" s="94" t="str">
        <f t="shared" si="1"/>
        <v>Sim</v>
      </c>
      <c r="O149" s="15">
        <v>0</v>
      </c>
      <c r="P149" s="15">
        <v>100</v>
      </c>
    </row>
    <row r="150" spans="1:16" ht="17.25" customHeight="1" x14ac:dyDescent="0.35">
      <c r="A150" s="117"/>
      <c r="B150" s="91" t="s">
        <v>9866</v>
      </c>
      <c r="C150" s="91" t="s">
        <v>10289</v>
      </c>
      <c r="D150" s="96" t="s">
        <v>10067</v>
      </c>
      <c r="E150" s="97" t="s">
        <v>10196</v>
      </c>
      <c r="F150" s="94" t="s">
        <v>9687</v>
      </c>
      <c r="G150" s="94" t="s">
        <v>9719</v>
      </c>
      <c r="H150" s="15" t="s">
        <v>9634</v>
      </c>
      <c r="I150" s="99">
        <v>0</v>
      </c>
      <c r="J150" s="99">
        <v>0</v>
      </c>
      <c r="K150" s="27" t="s">
        <v>9968</v>
      </c>
      <c r="L150" s="15" t="s">
        <v>9874</v>
      </c>
      <c r="M150" s="15" t="s">
        <v>9975</v>
      </c>
      <c r="N150" s="94" t="str">
        <f t="shared" si="1"/>
        <v>Sim</v>
      </c>
      <c r="O150" s="15">
        <v>0</v>
      </c>
      <c r="P150" s="15">
        <v>100</v>
      </c>
    </row>
    <row r="151" spans="1:16" ht="17.25" customHeight="1" x14ac:dyDescent="0.35">
      <c r="A151" s="117"/>
      <c r="B151" s="91" t="s">
        <v>9866</v>
      </c>
      <c r="C151" s="91" t="s">
        <v>10289</v>
      </c>
      <c r="D151" s="96" t="s">
        <v>10068</v>
      </c>
      <c r="E151" s="97" t="s">
        <v>10197</v>
      </c>
      <c r="F151" s="94" t="s">
        <v>9687</v>
      </c>
      <c r="G151" s="94" t="s">
        <v>9719</v>
      </c>
      <c r="H151" s="15" t="s">
        <v>9794</v>
      </c>
      <c r="I151" s="99">
        <v>950</v>
      </c>
      <c r="J151" s="99">
        <v>950</v>
      </c>
      <c r="K151" s="27" t="s">
        <v>9968</v>
      </c>
      <c r="L151" s="15" t="s">
        <v>9874</v>
      </c>
      <c r="M151" s="15" t="s">
        <v>9976</v>
      </c>
      <c r="N151" s="94" t="str">
        <f t="shared" ref="N151:N205" si="4">IF(F151="String",IF(I151&lt;&gt;"","Sim","Não"),IF(F151="List",IF(I151&lt;&gt;"","Sim","Não"),IF(AND(I151&gt;=O151,I151&lt;=P151,I151&lt;&gt;""),"Sim","Não")))</f>
        <v>Sim</v>
      </c>
      <c r="O151" s="15">
        <v>0</v>
      </c>
      <c r="P151" s="15">
        <v>5000</v>
      </c>
    </row>
    <row r="152" spans="1:16" ht="17.25" customHeight="1" x14ac:dyDescent="0.35">
      <c r="A152" s="117"/>
      <c r="B152" s="91" t="s">
        <v>9866</v>
      </c>
      <c r="C152" s="91" t="s">
        <v>10289</v>
      </c>
      <c r="D152" s="96" t="s">
        <v>10069</v>
      </c>
      <c r="E152" s="97" t="s">
        <v>10198</v>
      </c>
      <c r="F152" s="94" t="s">
        <v>9687</v>
      </c>
      <c r="G152" s="94" t="s">
        <v>9719</v>
      </c>
      <c r="H152" s="15" t="s">
        <v>9794</v>
      </c>
      <c r="I152" s="28">
        <v>2000</v>
      </c>
      <c r="J152" s="28">
        <v>2000</v>
      </c>
      <c r="K152" s="27" t="s">
        <v>9968</v>
      </c>
      <c r="L152" s="15" t="s">
        <v>9874</v>
      </c>
      <c r="M152" s="15" t="s">
        <v>9977</v>
      </c>
      <c r="N152" s="94" t="str">
        <f t="shared" si="4"/>
        <v>Sim</v>
      </c>
      <c r="O152" s="15">
        <v>0</v>
      </c>
      <c r="P152" s="15">
        <v>5000</v>
      </c>
    </row>
    <row r="153" spans="1:16" ht="17.25" customHeight="1" x14ac:dyDescent="0.35">
      <c r="A153" s="117"/>
      <c r="B153" s="91" t="s">
        <v>9866</v>
      </c>
      <c r="C153" s="91" t="s">
        <v>10289</v>
      </c>
      <c r="D153" s="96" t="s">
        <v>10070</v>
      </c>
      <c r="E153" s="97" t="s">
        <v>10200</v>
      </c>
      <c r="F153" s="94" t="s">
        <v>9687</v>
      </c>
      <c r="G153" s="94" t="s">
        <v>9719</v>
      </c>
      <c r="H153" s="15" t="s">
        <v>9794</v>
      </c>
      <c r="I153" s="99">
        <v>2750</v>
      </c>
      <c r="J153" s="99">
        <v>2750</v>
      </c>
      <c r="K153" s="27" t="s">
        <v>9968</v>
      </c>
      <c r="L153" s="15" t="s">
        <v>9874</v>
      </c>
      <c r="M153" s="15" t="s">
        <v>9978</v>
      </c>
      <c r="N153" s="94" t="str">
        <f t="shared" si="4"/>
        <v>Sim</v>
      </c>
      <c r="O153" s="15">
        <v>0</v>
      </c>
      <c r="P153" s="15">
        <v>5000</v>
      </c>
    </row>
    <row r="154" spans="1:16" ht="17.25" customHeight="1" x14ac:dyDescent="0.35">
      <c r="A154" s="117"/>
      <c r="B154" s="91" t="s">
        <v>9866</v>
      </c>
      <c r="C154" s="91" t="s">
        <v>10289</v>
      </c>
      <c r="D154" s="96" t="s">
        <v>10071</v>
      </c>
      <c r="E154" s="97" t="s">
        <v>10199</v>
      </c>
      <c r="F154" s="94" t="s">
        <v>9687</v>
      </c>
      <c r="G154" s="94" t="s">
        <v>9719</v>
      </c>
      <c r="H154" s="15" t="s">
        <v>9794</v>
      </c>
      <c r="I154" s="99">
        <v>300</v>
      </c>
      <c r="J154" s="99">
        <v>300</v>
      </c>
      <c r="K154" s="27" t="s">
        <v>9968</v>
      </c>
      <c r="L154" s="15" t="s">
        <v>9874</v>
      </c>
      <c r="M154" s="15" t="s">
        <v>9979</v>
      </c>
      <c r="N154" s="94" t="str">
        <f t="shared" si="4"/>
        <v>Sim</v>
      </c>
      <c r="O154" s="15">
        <v>0</v>
      </c>
      <c r="P154" s="15">
        <v>1000</v>
      </c>
    </row>
    <row r="155" spans="1:16" ht="17.25" customHeight="1" x14ac:dyDescent="0.35">
      <c r="A155" s="117"/>
      <c r="B155" s="91" t="s">
        <v>9866</v>
      </c>
      <c r="C155" s="91" t="s">
        <v>10289</v>
      </c>
      <c r="D155" s="96" t="s">
        <v>10072</v>
      </c>
      <c r="E155" s="97" t="s">
        <v>10201</v>
      </c>
      <c r="F155" s="94" t="s">
        <v>9687</v>
      </c>
      <c r="G155" s="94" t="s">
        <v>9719</v>
      </c>
      <c r="H155" s="15" t="s">
        <v>9794</v>
      </c>
      <c r="I155" s="99">
        <v>1500</v>
      </c>
      <c r="J155" s="99">
        <v>1500</v>
      </c>
      <c r="K155" s="27" t="s">
        <v>9968</v>
      </c>
      <c r="L155" s="15" t="s">
        <v>9874</v>
      </c>
      <c r="M155" s="15" t="s">
        <v>9980</v>
      </c>
      <c r="N155" s="94" t="str">
        <f t="shared" si="4"/>
        <v>Sim</v>
      </c>
      <c r="O155" s="15">
        <v>0</v>
      </c>
      <c r="P155" s="15">
        <v>5000</v>
      </c>
    </row>
    <row r="156" spans="1:16" ht="17.25" customHeight="1" x14ac:dyDescent="0.35">
      <c r="A156" s="117"/>
      <c r="B156" s="91" t="s">
        <v>9866</v>
      </c>
      <c r="C156" s="91" t="s">
        <v>10289</v>
      </c>
      <c r="D156" s="96" t="s">
        <v>10073</v>
      </c>
      <c r="E156" s="97" t="s">
        <v>10202</v>
      </c>
      <c r="F156" s="94" t="s">
        <v>9687</v>
      </c>
      <c r="G156" s="94" t="s">
        <v>9719</v>
      </c>
      <c r="H156" s="15" t="s">
        <v>9794</v>
      </c>
      <c r="I156" s="99">
        <v>2250</v>
      </c>
      <c r="J156" s="99">
        <v>2250</v>
      </c>
      <c r="K156" s="27" t="s">
        <v>9968</v>
      </c>
      <c r="L156" s="15" t="s">
        <v>9874</v>
      </c>
      <c r="M156" s="15" t="s">
        <v>10162</v>
      </c>
      <c r="N156" s="94" t="str">
        <f t="shared" si="4"/>
        <v>Sim</v>
      </c>
      <c r="O156" s="15">
        <v>0</v>
      </c>
      <c r="P156" s="15">
        <v>5000</v>
      </c>
    </row>
    <row r="157" spans="1:16" ht="17.25" customHeight="1" x14ac:dyDescent="0.35">
      <c r="A157" s="117"/>
      <c r="B157" s="91" t="s">
        <v>9866</v>
      </c>
      <c r="C157" s="91" t="s">
        <v>10291</v>
      </c>
      <c r="D157" s="96" t="s">
        <v>10074</v>
      </c>
      <c r="E157" s="97" t="s">
        <v>10203</v>
      </c>
      <c r="F157" s="94" t="s">
        <v>9687</v>
      </c>
      <c r="G157" s="94" t="s">
        <v>9719</v>
      </c>
      <c r="H157" s="15" t="s">
        <v>9813</v>
      </c>
      <c r="I157" s="99">
        <v>500</v>
      </c>
      <c r="J157" s="99">
        <v>500</v>
      </c>
      <c r="K157" s="27" t="s">
        <v>9968</v>
      </c>
      <c r="L157" s="15" t="s">
        <v>9874</v>
      </c>
      <c r="M157" s="15" t="s">
        <v>9981</v>
      </c>
      <c r="N157" s="94" t="str">
        <f t="shared" si="4"/>
        <v>Sim</v>
      </c>
      <c r="O157" s="15">
        <v>400</v>
      </c>
      <c r="P157" s="15">
        <v>750</v>
      </c>
    </row>
    <row r="158" spans="1:16" ht="17.25" customHeight="1" x14ac:dyDescent="0.35">
      <c r="A158" s="117"/>
      <c r="B158" s="91" t="s">
        <v>9866</v>
      </c>
      <c r="C158" s="91" t="s">
        <v>10291</v>
      </c>
      <c r="D158" s="96" t="s">
        <v>10075</v>
      </c>
      <c r="E158" s="97" t="s">
        <v>10208</v>
      </c>
      <c r="F158" s="94" t="s">
        <v>9687</v>
      </c>
      <c r="G158" s="94" t="s">
        <v>9719</v>
      </c>
      <c r="H158" s="15" t="s">
        <v>9868</v>
      </c>
      <c r="I158" s="99">
        <v>5.21</v>
      </c>
      <c r="J158" s="99">
        <v>5.21</v>
      </c>
      <c r="K158" s="27" t="s">
        <v>9968</v>
      </c>
      <c r="L158" s="15" t="s">
        <v>9874</v>
      </c>
      <c r="M158" s="15" t="s">
        <v>9982</v>
      </c>
      <c r="N158" s="94" t="str">
        <f t="shared" si="4"/>
        <v>Sim</v>
      </c>
      <c r="O158" s="15">
        <v>0</v>
      </c>
      <c r="P158" s="15">
        <v>10</v>
      </c>
    </row>
    <row r="159" spans="1:16" ht="17.25" customHeight="1" x14ac:dyDescent="0.35">
      <c r="A159" s="117"/>
      <c r="B159" s="91" t="s">
        <v>9866</v>
      </c>
      <c r="C159" s="91" t="s">
        <v>10291</v>
      </c>
      <c r="D159" s="96" t="s">
        <v>10076</v>
      </c>
      <c r="E159" s="97" t="s">
        <v>10209</v>
      </c>
      <c r="F159" s="94" t="s">
        <v>9687</v>
      </c>
      <c r="G159" s="94" t="s">
        <v>9719</v>
      </c>
      <c r="H159" s="15" t="s">
        <v>9868</v>
      </c>
      <c r="I159" s="99">
        <v>5.21</v>
      </c>
      <c r="J159" s="99">
        <v>5.21</v>
      </c>
      <c r="K159" s="27" t="s">
        <v>9968</v>
      </c>
      <c r="L159" s="15" t="s">
        <v>9874</v>
      </c>
      <c r="M159" s="15" t="s">
        <v>9983</v>
      </c>
      <c r="N159" s="94" t="str">
        <f t="shared" si="4"/>
        <v>Sim</v>
      </c>
      <c r="O159" s="15">
        <v>0</v>
      </c>
      <c r="P159" s="15">
        <v>10</v>
      </c>
    </row>
    <row r="160" spans="1:16" ht="17.25" customHeight="1" x14ac:dyDescent="0.35">
      <c r="A160" s="117"/>
      <c r="B160" s="91" t="s">
        <v>9866</v>
      </c>
      <c r="C160" s="91" t="s">
        <v>10292</v>
      </c>
      <c r="D160" s="96" t="s">
        <v>10077</v>
      </c>
      <c r="E160" s="97" t="s">
        <v>10206</v>
      </c>
      <c r="F160" s="94" t="s">
        <v>9687</v>
      </c>
      <c r="G160" s="94" t="s">
        <v>9719</v>
      </c>
      <c r="H160" s="15" t="s">
        <v>9813</v>
      </c>
      <c r="I160" s="99">
        <v>520</v>
      </c>
      <c r="J160" s="99">
        <v>520</v>
      </c>
      <c r="K160" s="27" t="s">
        <v>9968</v>
      </c>
      <c r="L160" s="15" t="s">
        <v>9874</v>
      </c>
      <c r="M160" s="15" t="s">
        <v>9984</v>
      </c>
      <c r="N160" s="94" t="str">
        <f t="shared" si="4"/>
        <v>Sim</v>
      </c>
      <c r="O160" s="15">
        <v>400</v>
      </c>
      <c r="P160" s="15">
        <v>750</v>
      </c>
    </row>
    <row r="161" spans="1:16" ht="17.25" customHeight="1" x14ac:dyDescent="0.35">
      <c r="A161" s="117"/>
      <c r="B161" s="91" t="s">
        <v>9866</v>
      </c>
      <c r="C161" s="91" t="s">
        <v>10292</v>
      </c>
      <c r="D161" s="96" t="s">
        <v>10290</v>
      </c>
      <c r="E161" s="97" t="s">
        <v>10207</v>
      </c>
      <c r="F161" s="94" t="s">
        <v>9687</v>
      </c>
      <c r="G161" s="94" t="s">
        <v>9719</v>
      </c>
      <c r="H161" s="15" t="s">
        <v>9813</v>
      </c>
      <c r="I161" s="99">
        <v>520</v>
      </c>
      <c r="J161" s="99">
        <v>520</v>
      </c>
      <c r="K161" s="27" t="s">
        <v>9968</v>
      </c>
      <c r="L161" s="15" t="s">
        <v>9874</v>
      </c>
      <c r="M161" s="15" t="s">
        <v>9985</v>
      </c>
      <c r="N161" s="94" t="str">
        <f t="shared" si="4"/>
        <v>Sim</v>
      </c>
      <c r="O161" s="15">
        <v>0</v>
      </c>
      <c r="P161" s="15">
        <v>750</v>
      </c>
    </row>
    <row r="162" spans="1:16" ht="17.25" customHeight="1" x14ac:dyDescent="0.35">
      <c r="A162" s="117"/>
      <c r="B162" s="91" t="s">
        <v>9866</v>
      </c>
      <c r="C162" s="91" t="s">
        <v>10292</v>
      </c>
      <c r="D162" s="96" t="s">
        <v>10075</v>
      </c>
      <c r="E162" s="97" t="s">
        <v>10204</v>
      </c>
      <c r="F162" s="94" t="s">
        <v>9687</v>
      </c>
      <c r="G162" s="94" t="s">
        <v>9719</v>
      </c>
      <c r="H162" s="15" t="s">
        <v>9868</v>
      </c>
      <c r="I162" s="99">
        <v>5.21</v>
      </c>
      <c r="J162" s="99">
        <v>5.21</v>
      </c>
      <c r="K162" s="27" t="s">
        <v>9968</v>
      </c>
      <c r="L162" s="15" t="s">
        <v>9874</v>
      </c>
      <c r="M162" s="15" t="s">
        <v>9986</v>
      </c>
      <c r="N162" s="94" t="str">
        <f t="shared" si="4"/>
        <v>Sim</v>
      </c>
      <c r="O162" s="15">
        <v>0</v>
      </c>
      <c r="P162" s="15">
        <v>10</v>
      </c>
    </row>
    <row r="163" spans="1:16" ht="17.25" customHeight="1" x14ac:dyDescent="0.35">
      <c r="A163" s="117"/>
      <c r="B163" s="91" t="s">
        <v>9866</v>
      </c>
      <c r="C163" s="91" t="s">
        <v>10292</v>
      </c>
      <c r="D163" s="96" t="s">
        <v>10076</v>
      </c>
      <c r="E163" s="97" t="s">
        <v>10205</v>
      </c>
      <c r="F163" s="94" t="s">
        <v>9687</v>
      </c>
      <c r="G163" s="94" t="s">
        <v>9719</v>
      </c>
      <c r="H163" s="15" t="s">
        <v>9868</v>
      </c>
      <c r="I163" s="99">
        <v>5.21</v>
      </c>
      <c r="J163" s="99">
        <v>5.21</v>
      </c>
      <c r="K163" s="27" t="s">
        <v>9968</v>
      </c>
      <c r="L163" s="15" t="s">
        <v>9874</v>
      </c>
      <c r="M163" s="15" t="s">
        <v>9987</v>
      </c>
      <c r="N163" s="94" t="str">
        <f t="shared" si="4"/>
        <v>Sim</v>
      </c>
      <c r="O163" s="15">
        <v>0</v>
      </c>
      <c r="P163" s="15">
        <v>10</v>
      </c>
    </row>
    <row r="164" spans="1:16" ht="17.25" customHeight="1" x14ac:dyDescent="0.35">
      <c r="A164" s="117"/>
      <c r="B164" s="91" t="s">
        <v>9866</v>
      </c>
      <c r="C164" s="91" t="s">
        <v>10289</v>
      </c>
      <c r="D164" s="96" t="s">
        <v>10078</v>
      </c>
      <c r="E164" s="97" t="s">
        <v>10210</v>
      </c>
      <c r="F164" s="94" t="s">
        <v>9687</v>
      </c>
      <c r="G164" s="94" t="s">
        <v>9719</v>
      </c>
      <c r="H164" s="15" t="s">
        <v>9813</v>
      </c>
      <c r="I164" s="99">
        <v>549.4</v>
      </c>
      <c r="J164" s="99">
        <v>549.4</v>
      </c>
      <c r="K164" s="27" t="s">
        <v>9968</v>
      </c>
      <c r="L164" s="15" t="s">
        <v>9874</v>
      </c>
      <c r="M164" s="15" t="s">
        <v>9971</v>
      </c>
      <c r="N164" s="94" t="str">
        <f t="shared" si="4"/>
        <v>Sim</v>
      </c>
      <c r="O164" s="15">
        <v>250</v>
      </c>
      <c r="P164" s="15">
        <v>750</v>
      </c>
    </row>
    <row r="165" spans="1:16" s="18" customFormat="1" ht="17.25" customHeight="1" x14ac:dyDescent="0.35">
      <c r="A165" s="117"/>
      <c r="B165" s="91" t="s">
        <v>9866</v>
      </c>
      <c r="C165" s="91" t="s">
        <v>10289</v>
      </c>
      <c r="D165" s="96" t="s">
        <v>10079</v>
      </c>
      <c r="E165" s="97" t="s">
        <v>10211</v>
      </c>
      <c r="F165" s="94" t="s">
        <v>9687</v>
      </c>
      <c r="G165" s="94" t="s">
        <v>9719</v>
      </c>
      <c r="H165" s="15" t="s">
        <v>9813</v>
      </c>
      <c r="I165" s="99">
        <v>549.4</v>
      </c>
      <c r="J165" s="99">
        <v>549.4</v>
      </c>
      <c r="K165" s="27" t="s">
        <v>9968</v>
      </c>
      <c r="L165" s="15" t="s">
        <v>9874</v>
      </c>
      <c r="M165" s="15" t="s">
        <v>10166</v>
      </c>
      <c r="N165" s="94" t="str">
        <f t="shared" si="4"/>
        <v>Sim</v>
      </c>
      <c r="O165" s="15">
        <v>250</v>
      </c>
      <c r="P165" s="15">
        <v>750</v>
      </c>
    </row>
    <row r="166" spans="1:16" ht="17.25" customHeight="1" x14ac:dyDescent="0.35">
      <c r="A166" s="117"/>
      <c r="B166" s="91" t="s">
        <v>9866</v>
      </c>
      <c r="C166" s="91" t="s">
        <v>10289</v>
      </c>
      <c r="D166" s="96" t="s">
        <v>10080</v>
      </c>
      <c r="E166" s="97" t="s">
        <v>10212</v>
      </c>
      <c r="F166" s="94" t="s">
        <v>9687</v>
      </c>
      <c r="G166" s="94" t="s">
        <v>9719</v>
      </c>
      <c r="H166" s="15" t="s">
        <v>9867</v>
      </c>
      <c r="I166" s="99">
        <v>4</v>
      </c>
      <c r="J166" s="99">
        <v>4</v>
      </c>
      <c r="K166" s="27" t="s">
        <v>9968</v>
      </c>
      <c r="L166" s="15" t="s">
        <v>9874</v>
      </c>
      <c r="M166" s="15" t="s">
        <v>10167</v>
      </c>
      <c r="N166" s="94" t="str">
        <f t="shared" si="4"/>
        <v>Sim</v>
      </c>
      <c r="O166" s="15">
        <v>1</v>
      </c>
      <c r="P166" s="15">
        <v>10</v>
      </c>
    </row>
    <row r="167" spans="1:16" ht="17.25" customHeight="1" x14ac:dyDescent="0.35">
      <c r="A167" s="117"/>
      <c r="B167" s="91" t="s">
        <v>9866</v>
      </c>
      <c r="C167" s="91" t="s">
        <v>10289</v>
      </c>
      <c r="D167" s="96" t="s">
        <v>10081</v>
      </c>
      <c r="E167" s="97" t="s">
        <v>10213</v>
      </c>
      <c r="F167" s="94" t="s">
        <v>9687</v>
      </c>
      <c r="G167" s="94" t="s">
        <v>9719</v>
      </c>
      <c r="H167" s="15" t="s">
        <v>9794</v>
      </c>
      <c r="I167" s="99">
        <v>150</v>
      </c>
      <c r="J167" s="99">
        <v>150</v>
      </c>
      <c r="K167" s="27" t="s">
        <v>9968</v>
      </c>
      <c r="L167" s="15" t="s">
        <v>9874</v>
      </c>
      <c r="M167" s="15" t="s">
        <v>9972</v>
      </c>
      <c r="N167" s="94" t="str">
        <f t="shared" si="4"/>
        <v>Sim</v>
      </c>
      <c r="O167" s="15">
        <v>0</v>
      </c>
      <c r="P167" s="15">
        <v>500</v>
      </c>
    </row>
    <row r="168" spans="1:16" ht="17.25" customHeight="1" x14ac:dyDescent="0.35">
      <c r="A168" s="117"/>
      <c r="B168" s="91" t="s">
        <v>9866</v>
      </c>
      <c r="C168" s="91" t="s">
        <v>10289</v>
      </c>
      <c r="D168" s="96" t="s">
        <v>10082</v>
      </c>
      <c r="E168" s="97" t="s">
        <v>10214</v>
      </c>
      <c r="F168" s="94" t="s">
        <v>9687</v>
      </c>
      <c r="G168" s="94" t="s">
        <v>9719</v>
      </c>
      <c r="H168" s="15" t="s">
        <v>9794</v>
      </c>
      <c r="I168" s="99">
        <v>0</v>
      </c>
      <c r="J168" s="99">
        <v>0</v>
      </c>
      <c r="K168" s="27" t="s">
        <v>9968</v>
      </c>
      <c r="L168" s="15" t="s">
        <v>9874</v>
      </c>
      <c r="M168" s="15" t="s">
        <v>10168</v>
      </c>
      <c r="N168" s="94" t="str">
        <f t="shared" si="4"/>
        <v>Sim</v>
      </c>
      <c r="O168" s="15">
        <v>0</v>
      </c>
      <c r="P168" s="15">
        <v>50</v>
      </c>
    </row>
    <row r="169" spans="1:16" ht="17.25" customHeight="1" x14ac:dyDescent="0.35">
      <c r="A169" s="117"/>
      <c r="B169" s="91" t="s">
        <v>9866</v>
      </c>
      <c r="C169" s="91" t="s">
        <v>10289</v>
      </c>
      <c r="D169" s="96" t="s">
        <v>10083</v>
      </c>
      <c r="E169" s="97" t="s">
        <v>10215</v>
      </c>
      <c r="F169" s="94" t="s">
        <v>10270</v>
      </c>
      <c r="G169" s="94" t="s">
        <v>9719</v>
      </c>
      <c r="H169" s="15" t="s">
        <v>10271</v>
      </c>
      <c r="I169" s="28" t="s">
        <v>9719</v>
      </c>
      <c r="J169" s="28" t="s">
        <v>9719</v>
      </c>
      <c r="K169" s="27" t="s">
        <v>9968</v>
      </c>
      <c r="L169" s="15" t="s">
        <v>9874</v>
      </c>
      <c r="M169" s="15" t="s">
        <v>9973</v>
      </c>
      <c r="N169" s="94" t="str">
        <f t="shared" si="4"/>
        <v>Sim</v>
      </c>
      <c r="O169" s="15" t="s">
        <v>9780</v>
      </c>
      <c r="P169" s="15" t="s">
        <v>10267</v>
      </c>
    </row>
    <row r="170" spans="1:16" ht="17.25" customHeight="1" x14ac:dyDescent="0.35">
      <c r="A170" s="117"/>
      <c r="B170" s="91" t="s">
        <v>9866</v>
      </c>
      <c r="C170" s="91" t="s">
        <v>10289</v>
      </c>
      <c r="D170" s="96" t="s">
        <v>10084</v>
      </c>
      <c r="E170" s="97" t="s">
        <v>10216</v>
      </c>
      <c r="F170" s="94" t="s">
        <v>9687</v>
      </c>
      <c r="G170" s="94" t="s">
        <v>9719</v>
      </c>
      <c r="H170" s="15" t="s">
        <v>9634</v>
      </c>
      <c r="I170" s="99">
        <v>0.25</v>
      </c>
      <c r="J170" s="99">
        <v>0.25</v>
      </c>
      <c r="K170" s="27" t="s">
        <v>9968</v>
      </c>
      <c r="L170" s="15" t="s">
        <v>9874</v>
      </c>
      <c r="M170" s="15" t="s">
        <v>9974</v>
      </c>
      <c r="N170" s="94" t="str">
        <f t="shared" si="4"/>
        <v>Sim</v>
      </c>
      <c r="O170" s="15">
        <v>0</v>
      </c>
      <c r="P170" s="15">
        <v>100</v>
      </c>
    </row>
    <row r="171" spans="1:16" ht="17.25" customHeight="1" x14ac:dyDescent="0.35">
      <c r="A171" s="117"/>
      <c r="B171" s="91" t="s">
        <v>9866</v>
      </c>
      <c r="C171" s="91" t="s">
        <v>10289</v>
      </c>
      <c r="D171" s="96" t="s">
        <v>10085</v>
      </c>
      <c r="E171" s="97" t="s">
        <v>10217</v>
      </c>
      <c r="F171" s="94" t="s">
        <v>9687</v>
      </c>
      <c r="G171" s="94" t="s">
        <v>9719</v>
      </c>
      <c r="H171" s="15" t="s">
        <v>9634</v>
      </c>
      <c r="I171" s="99">
        <v>0</v>
      </c>
      <c r="J171" s="99">
        <v>0</v>
      </c>
      <c r="K171" s="27" t="s">
        <v>9968</v>
      </c>
      <c r="L171" s="15" t="s">
        <v>9874</v>
      </c>
      <c r="M171" s="15" t="s">
        <v>9975</v>
      </c>
      <c r="N171" s="94" t="str">
        <f t="shared" si="4"/>
        <v>Sim</v>
      </c>
      <c r="O171" s="15">
        <v>0</v>
      </c>
      <c r="P171" s="15">
        <v>100</v>
      </c>
    </row>
    <row r="172" spans="1:16" ht="17.25" customHeight="1" x14ac:dyDescent="0.35">
      <c r="A172" s="117"/>
      <c r="B172" s="91" t="s">
        <v>9866</v>
      </c>
      <c r="C172" s="91" t="s">
        <v>10289</v>
      </c>
      <c r="D172" s="96" t="s">
        <v>10086</v>
      </c>
      <c r="E172" s="97" t="s">
        <v>10218</v>
      </c>
      <c r="F172" s="94" t="s">
        <v>9687</v>
      </c>
      <c r="G172" s="94" t="s">
        <v>9719</v>
      </c>
      <c r="H172" s="15" t="s">
        <v>9794</v>
      </c>
      <c r="I172" s="99">
        <v>950</v>
      </c>
      <c r="J172" s="99">
        <v>950</v>
      </c>
      <c r="K172" s="27" t="s">
        <v>9968</v>
      </c>
      <c r="L172" s="15" t="s">
        <v>9874</v>
      </c>
      <c r="M172" s="15" t="s">
        <v>9976</v>
      </c>
      <c r="N172" s="94" t="str">
        <f t="shared" si="4"/>
        <v>Sim</v>
      </c>
      <c r="O172" s="15">
        <v>0</v>
      </c>
      <c r="P172" s="15">
        <v>5000</v>
      </c>
    </row>
    <row r="173" spans="1:16" ht="17.25" customHeight="1" x14ac:dyDescent="0.35">
      <c r="A173" s="117"/>
      <c r="B173" s="91" t="s">
        <v>9866</v>
      </c>
      <c r="C173" s="91" t="s">
        <v>10289</v>
      </c>
      <c r="D173" s="96" t="s">
        <v>10087</v>
      </c>
      <c r="E173" s="97" t="s">
        <v>10219</v>
      </c>
      <c r="F173" s="94" t="s">
        <v>9687</v>
      </c>
      <c r="G173" s="94" t="s">
        <v>9719</v>
      </c>
      <c r="H173" s="15" t="s">
        <v>9794</v>
      </c>
      <c r="I173" s="28">
        <v>2000</v>
      </c>
      <c r="J173" s="28">
        <v>2000</v>
      </c>
      <c r="K173" s="27" t="s">
        <v>9968</v>
      </c>
      <c r="L173" s="15" t="s">
        <v>9874</v>
      </c>
      <c r="M173" s="15" t="s">
        <v>9977</v>
      </c>
      <c r="N173" s="94" t="str">
        <f t="shared" si="4"/>
        <v>Sim</v>
      </c>
      <c r="O173" s="15">
        <v>0</v>
      </c>
      <c r="P173" s="15">
        <v>5000</v>
      </c>
    </row>
    <row r="174" spans="1:16" ht="17.25" customHeight="1" x14ac:dyDescent="0.35">
      <c r="A174" s="117"/>
      <c r="B174" s="91" t="s">
        <v>9866</v>
      </c>
      <c r="C174" s="91" t="s">
        <v>10289</v>
      </c>
      <c r="D174" s="96" t="s">
        <v>10088</v>
      </c>
      <c r="E174" s="97" t="s">
        <v>10220</v>
      </c>
      <c r="F174" s="94" t="s">
        <v>9687</v>
      </c>
      <c r="G174" s="94" t="s">
        <v>9719</v>
      </c>
      <c r="H174" s="15" t="s">
        <v>9794</v>
      </c>
      <c r="I174" s="99">
        <v>2750</v>
      </c>
      <c r="J174" s="99">
        <v>2750</v>
      </c>
      <c r="K174" s="27" t="s">
        <v>9968</v>
      </c>
      <c r="L174" s="15" t="s">
        <v>9874</v>
      </c>
      <c r="M174" s="15" t="s">
        <v>9978</v>
      </c>
      <c r="N174" s="94" t="str">
        <f t="shared" si="4"/>
        <v>Sim</v>
      </c>
      <c r="O174" s="15">
        <v>0</v>
      </c>
      <c r="P174" s="15">
        <v>5000</v>
      </c>
    </row>
    <row r="175" spans="1:16" ht="17.25" customHeight="1" x14ac:dyDescent="0.35">
      <c r="A175" s="117"/>
      <c r="B175" s="91" t="s">
        <v>9866</v>
      </c>
      <c r="C175" s="91" t="s">
        <v>10289</v>
      </c>
      <c r="D175" s="96" t="s">
        <v>10089</v>
      </c>
      <c r="E175" s="97" t="s">
        <v>10221</v>
      </c>
      <c r="F175" s="94" t="s">
        <v>9687</v>
      </c>
      <c r="G175" s="94" t="s">
        <v>9719</v>
      </c>
      <c r="H175" s="15" t="s">
        <v>9794</v>
      </c>
      <c r="I175" s="99">
        <v>300</v>
      </c>
      <c r="J175" s="99">
        <v>300</v>
      </c>
      <c r="K175" s="27" t="s">
        <v>9968</v>
      </c>
      <c r="L175" s="15" t="s">
        <v>9874</v>
      </c>
      <c r="M175" s="15" t="s">
        <v>9979</v>
      </c>
      <c r="N175" s="94" t="str">
        <f t="shared" si="4"/>
        <v>Sim</v>
      </c>
      <c r="O175" s="15">
        <v>0</v>
      </c>
      <c r="P175" s="15">
        <v>1000</v>
      </c>
    </row>
    <row r="176" spans="1:16" ht="17.25" customHeight="1" x14ac:dyDescent="0.35">
      <c r="A176" s="117"/>
      <c r="B176" s="91" t="s">
        <v>9866</v>
      </c>
      <c r="C176" s="91" t="s">
        <v>10289</v>
      </c>
      <c r="D176" s="96" t="s">
        <v>10090</v>
      </c>
      <c r="E176" s="97" t="s">
        <v>10222</v>
      </c>
      <c r="F176" s="94" t="s">
        <v>9687</v>
      </c>
      <c r="G176" s="94" t="s">
        <v>9719</v>
      </c>
      <c r="H176" s="15" t="s">
        <v>9794</v>
      </c>
      <c r="I176" s="99">
        <v>1500</v>
      </c>
      <c r="J176" s="99">
        <v>1500</v>
      </c>
      <c r="K176" s="27" t="s">
        <v>9968</v>
      </c>
      <c r="L176" s="15" t="s">
        <v>9874</v>
      </c>
      <c r="M176" s="15" t="s">
        <v>9980</v>
      </c>
      <c r="N176" s="94" t="str">
        <f t="shared" si="4"/>
        <v>Sim</v>
      </c>
      <c r="O176" s="15">
        <v>0</v>
      </c>
      <c r="P176" s="15">
        <v>5000</v>
      </c>
    </row>
    <row r="177" spans="1:16" ht="17.25" customHeight="1" x14ac:dyDescent="0.35">
      <c r="A177" s="117"/>
      <c r="B177" s="91" t="s">
        <v>9866</v>
      </c>
      <c r="C177" s="91" t="s">
        <v>10289</v>
      </c>
      <c r="D177" s="96" t="s">
        <v>10091</v>
      </c>
      <c r="E177" s="97" t="s">
        <v>10223</v>
      </c>
      <c r="F177" s="94" t="s">
        <v>9687</v>
      </c>
      <c r="G177" s="94" t="s">
        <v>9719</v>
      </c>
      <c r="H177" s="15" t="s">
        <v>9794</v>
      </c>
      <c r="I177" s="99">
        <v>2250</v>
      </c>
      <c r="J177" s="99">
        <v>2250</v>
      </c>
      <c r="K177" s="27" t="s">
        <v>9968</v>
      </c>
      <c r="L177" s="15" t="s">
        <v>9874</v>
      </c>
      <c r="M177" s="15" t="s">
        <v>10162</v>
      </c>
      <c r="N177" s="94" t="str">
        <f t="shared" si="4"/>
        <v>Sim</v>
      </c>
      <c r="O177" s="15">
        <v>0</v>
      </c>
      <c r="P177" s="15">
        <v>5000</v>
      </c>
    </row>
    <row r="178" spans="1:16" ht="17.25" customHeight="1" x14ac:dyDescent="0.35">
      <c r="A178" s="117"/>
      <c r="B178" s="91" t="s">
        <v>9866</v>
      </c>
      <c r="C178" s="91" t="s">
        <v>10291</v>
      </c>
      <c r="D178" s="96" t="s">
        <v>10092</v>
      </c>
      <c r="E178" s="97" t="s">
        <v>10224</v>
      </c>
      <c r="F178" s="94" t="s">
        <v>9687</v>
      </c>
      <c r="G178" s="94" t="s">
        <v>9719</v>
      </c>
      <c r="H178" s="15" t="s">
        <v>9813</v>
      </c>
      <c r="I178" s="99">
        <v>500</v>
      </c>
      <c r="J178" s="99">
        <v>500</v>
      </c>
      <c r="K178" s="27" t="s">
        <v>9968</v>
      </c>
      <c r="L178" s="15" t="s">
        <v>9874</v>
      </c>
      <c r="M178" s="15" t="s">
        <v>9981</v>
      </c>
      <c r="N178" s="94" t="str">
        <f t="shared" si="4"/>
        <v>Sim</v>
      </c>
      <c r="O178" s="15">
        <v>400</v>
      </c>
      <c r="P178" s="15">
        <v>750</v>
      </c>
    </row>
    <row r="179" spans="1:16" ht="17.25" customHeight="1" x14ac:dyDescent="0.35">
      <c r="A179" s="117"/>
      <c r="B179" s="91" t="s">
        <v>9866</v>
      </c>
      <c r="C179" s="91" t="s">
        <v>10291</v>
      </c>
      <c r="D179" s="96" t="s">
        <v>10093</v>
      </c>
      <c r="E179" s="97" t="s">
        <v>10225</v>
      </c>
      <c r="F179" s="94" t="s">
        <v>9687</v>
      </c>
      <c r="G179" s="94" t="s">
        <v>9719</v>
      </c>
      <c r="H179" s="15" t="s">
        <v>9868</v>
      </c>
      <c r="I179" s="99">
        <v>5.21</v>
      </c>
      <c r="J179" s="99">
        <v>5.21</v>
      </c>
      <c r="K179" s="27" t="s">
        <v>9968</v>
      </c>
      <c r="L179" s="15" t="s">
        <v>9874</v>
      </c>
      <c r="M179" s="15" t="s">
        <v>9982</v>
      </c>
      <c r="N179" s="94" t="str">
        <f t="shared" si="4"/>
        <v>Sim</v>
      </c>
      <c r="O179" s="15">
        <v>0</v>
      </c>
      <c r="P179" s="15">
        <v>10</v>
      </c>
    </row>
    <row r="180" spans="1:16" ht="17.25" customHeight="1" x14ac:dyDescent="0.35">
      <c r="A180" s="117"/>
      <c r="B180" s="91" t="s">
        <v>9866</v>
      </c>
      <c r="C180" s="91" t="s">
        <v>10291</v>
      </c>
      <c r="D180" s="96" t="s">
        <v>10094</v>
      </c>
      <c r="E180" s="97" t="s">
        <v>10226</v>
      </c>
      <c r="F180" s="94" t="s">
        <v>9687</v>
      </c>
      <c r="G180" s="94" t="s">
        <v>9719</v>
      </c>
      <c r="H180" s="15" t="s">
        <v>9868</v>
      </c>
      <c r="I180" s="99">
        <v>5.21</v>
      </c>
      <c r="J180" s="99">
        <v>5.21</v>
      </c>
      <c r="K180" s="27" t="s">
        <v>9968</v>
      </c>
      <c r="L180" s="15" t="s">
        <v>9874</v>
      </c>
      <c r="M180" s="15" t="s">
        <v>9983</v>
      </c>
      <c r="N180" s="94" t="str">
        <f t="shared" si="4"/>
        <v>Sim</v>
      </c>
      <c r="O180" s="15">
        <v>0</v>
      </c>
      <c r="P180" s="15">
        <v>10</v>
      </c>
    </row>
    <row r="181" spans="1:16" ht="17.25" customHeight="1" x14ac:dyDescent="0.35">
      <c r="A181" s="117"/>
      <c r="B181" s="91" t="s">
        <v>9866</v>
      </c>
      <c r="C181" s="91" t="s">
        <v>10292</v>
      </c>
      <c r="D181" s="96" t="s">
        <v>10095</v>
      </c>
      <c r="E181" s="97" t="s">
        <v>10227</v>
      </c>
      <c r="F181" s="94" t="s">
        <v>9687</v>
      </c>
      <c r="G181" s="94" t="s">
        <v>9719</v>
      </c>
      <c r="H181" s="15" t="s">
        <v>9813</v>
      </c>
      <c r="I181" s="99">
        <v>520</v>
      </c>
      <c r="J181" s="99">
        <v>520</v>
      </c>
      <c r="K181" s="27" t="s">
        <v>9968</v>
      </c>
      <c r="L181" s="15" t="s">
        <v>9874</v>
      </c>
      <c r="M181" s="15" t="s">
        <v>9984</v>
      </c>
      <c r="N181" s="94" t="str">
        <f t="shared" si="4"/>
        <v>Sim</v>
      </c>
      <c r="O181" s="15">
        <v>400</v>
      </c>
      <c r="P181" s="15">
        <v>750</v>
      </c>
    </row>
    <row r="182" spans="1:16" s="18" customFormat="1" ht="17.25" customHeight="1" x14ac:dyDescent="0.35">
      <c r="A182" s="117"/>
      <c r="B182" s="91" t="s">
        <v>9866</v>
      </c>
      <c r="C182" s="91" t="s">
        <v>10292</v>
      </c>
      <c r="D182" s="96" t="s">
        <v>10096</v>
      </c>
      <c r="E182" s="97" t="s">
        <v>10228</v>
      </c>
      <c r="F182" s="94" t="s">
        <v>9687</v>
      </c>
      <c r="G182" s="94" t="s">
        <v>9719</v>
      </c>
      <c r="H182" s="15" t="s">
        <v>9813</v>
      </c>
      <c r="I182" s="99">
        <v>520</v>
      </c>
      <c r="J182" s="99">
        <v>520</v>
      </c>
      <c r="K182" s="27" t="s">
        <v>9968</v>
      </c>
      <c r="L182" s="15" t="s">
        <v>9874</v>
      </c>
      <c r="M182" s="15" t="s">
        <v>9985</v>
      </c>
      <c r="N182" s="94" t="str">
        <f t="shared" si="4"/>
        <v>Sim</v>
      </c>
      <c r="O182" s="15">
        <v>0</v>
      </c>
      <c r="P182" s="15">
        <v>750</v>
      </c>
    </row>
    <row r="183" spans="1:16" ht="17.25" customHeight="1" x14ac:dyDescent="0.35">
      <c r="A183" s="117"/>
      <c r="B183" s="91" t="s">
        <v>9866</v>
      </c>
      <c r="C183" s="91" t="s">
        <v>10292</v>
      </c>
      <c r="D183" s="96" t="s">
        <v>10093</v>
      </c>
      <c r="E183" s="97" t="s">
        <v>10229</v>
      </c>
      <c r="F183" s="94" t="s">
        <v>9687</v>
      </c>
      <c r="G183" s="94" t="s">
        <v>9719</v>
      </c>
      <c r="H183" s="15" t="s">
        <v>9868</v>
      </c>
      <c r="I183" s="99">
        <v>5.21</v>
      </c>
      <c r="J183" s="99">
        <v>5.21</v>
      </c>
      <c r="K183" s="27" t="s">
        <v>9968</v>
      </c>
      <c r="L183" s="15" t="s">
        <v>9874</v>
      </c>
      <c r="M183" s="15" t="s">
        <v>9986</v>
      </c>
      <c r="N183" s="94" t="str">
        <f t="shared" si="4"/>
        <v>Sim</v>
      </c>
      <c r="O183" s="15">
        <v>0</v>
      </c>
      <c r="P183" s="15">
        <v>10</v>
      </c>
    </row>
    <row r="184" spans="1:16" ht="17.25" customHeight="1" x14ac:dyDescent="0.35">
      <c r="A184" s="117"/>
      <c r="B184" s="91" t="s">
        <v>9866</v>
      </c>
      <c r="C184" s="91" t="s">
        <v>10292</v>
      </c>
      <c r="D184" s="96" t="s">
        <v>10094</v>
      </c>
      <c r="E184" s="97" t="s">
        <v>10230</v>
      </c>
      <c r="F184" s="94" t="s">
        <v>9687</v>
      </c>
      <c r="G184" s="94" t="s">
        <v>9719</v>
      </c>
      <c r="H184" s="15" t="s">
        <v>9868</v>
      </c>
      <c r="I184" s="99">
        <v>5.21</v>
      </c>
      <c r="J184" s="99">
        <v>5.21</v>
      </c>
      <c r="K184" s="27" t="s">
        <v>9968</v>
      </c>
      <c r="L184" s="15" t="s">
        <v>9874</v>
      </c>
      <c r="M184" s="15" t="s">
        <v>9987</v>
      </c>
      <c r="N184" s="94" t="str">
        <f t="shared" si="4"/>
        <v>Sim</v>
      </c>
      <c r="O184" s="15">
        <v>0</v>
      </c>
      <c r="P184" s="15">
        <v>10</v>
      </c>
    </row>
    <row r="185" spans="1:16" ht="17.25" customHeight="1" x14ac:dyDescent="0.35">
      <c r="A185" s="117" t="s">
        <v>10115</v>
      </c>
      <c r="B185" s="91" t="s">
        <v>9866</v>
      </c>
      <c r="C185" s="91" t="s">
        <v>10293</v>
      </c>
      <c r="D185" s="96" t="s">
        <v>10106</v>
      </c>
      <c r="E185" s="97" t="s">
        <v>10231</v>
      </c>
      <c r="F185" s="94" t="s">
        <v>9687</v>
      </c>
      <c r="G185" s="94" t="s">
        <v>9719</v>
      </c>
      <c r="H185" s="15" t="s">
        <v>9869</v>
      </c>
      <c r="I185" s="99">
        <v>4500000</v>
      </c>
      <c r="J185" s="99">
        <v>4500000</v>
      </c>
      <c r="K185" s="27" t="s">
        <v>9968</v>
      </c>
      <c r="L185" s="15" t="s">
        <v>9874</v>
      </c>
      <c r="M185" s="15" t="s">
        <v>9988</v>
      </c>
      <c r="N185" s="94" t="str">
        <f t="shared" si="4"/>
        <v>Sim</v>
      </c>
      <c r="O185" s="15">
        <v>0</v>
      </c>
      <c r="P185" s="15">
        <v>10000000</v>
      </c>
    </row>
    <row r="186" spans="1:16" ht="17.25" customHeight="1" x14ac:dyDescent="0.35">
      <c r="A186" s="117"/>
      <c r="B186" s="91" t="s">
        <v>9866</v>
      </c>
      <c r="C186" s="91" t="s">
        <v>10293</v>
      </c>
      <c r="D186" s="96" t="s">
        <v>10107</v>
      </c>
      <c r="E186" s="97" t="s">
        <v>10232</v>
      </c>
      <c r="F186" s="94" t="s">
        <v>9687</v>
      </c>
      <c r="G186" s="94" t="s">
        <v>9719</v>
      </c>
      <c r="H186" s="15" t="s">
        <v>9870</v>
      </c>
      <c r="I186" s="99">
        <v>25</v>
      </c>
      <c r="J186" s="99">
        <v>25</v>
      </c>
      <c r="K186" s="27" t="s">
        <v>9968</v>
      </c>
      <c r="L186" s="15" t="s">
        <v>9874</v>
      </c>
      <c r="M186" s="15" t="s">
        <v>9989</v>
      </c>
      <c r="N186" s="94" t="str">
        <f t="shared" si="4"/>
        <v>Sim</v>
      </c>
      <c r="O186" s="15">
        <v>0</v>
      </c>
      <c r="P186" s="15">
        <v>500</v>
      </c>
    </row>
    <row r="187" spans="1:16" ht="17.25" customHeight="1" x14ac:dyDescent="0.35">
      <c r="A187" s="117"/>
      <c r="B187" s="91" t="s">
        <v>9866</v>
      </c>
      <c r="C187" s="91" t="s">
        <v>10294</v>
      </c>
      <c r="D187" s="96" t="s">
        <v>10108</v>
      </c>
      <c r="E187" s="97" t="s">
        <v>10233</v>
      </c>
      <c r="F187" s="94" t="s">
        <v>9687</v>
      </c>
      <c r="G187" s="94" t="s">
        <v>9719</v>
      </c>
      <c r="H187" s="15" t="s">
        <v>9871</v>
      </c>
      <c r="I187" s="99">
        <v>25</v>
      </c>
      <c r="J187" s="99">
        <v>25</v>
      </c>
      <c r="K187" s="27" t="s">
        <v>9968</v>
      </c>
      <c r="L187" s="15" t="s">
        <v>9874</v>
      </c>
      <c r="M187" s="15" t="s">
        <v>9990</v>
      </c>
      <c r="N187" s="94" t="str">
        <f t="shared" si="4"/>
        <v>Sim</v>
      </c>
      <c r="O187" s="15">
        <v>0</v>
      </c>
      <c r="P187" s="15">
        <v>500</v>
      </c>
    </row>
    <row r="188" spans="1:16" ht="17.25" customHeight="1" x14ac:dyDescent="0.35">
      <c r="A188" s="117"/>
      <c r="B188" s="91" t="s">
        <v>9866</v>
      </c>
      <c r="C188" s="91" t="s">
        <v>10294</v>
      </c>
      <c r="D188" s="96" t="s">
        <v>10109</v>
      </c>
      <c r="E188" s="97" t="s">
        <v>10234</v>
      </c>
      <c r="F188" s="94" t="s">
        <v>9687</v>
      </c>
      <c r="G188" s="94" t="s">
        <v>9719</v>
      </c>
      <c r="H188" s="15" t="s">
        <v>9872</v>
      </c>
      <c r="I188" s="99">
        <v>2000</v>
      </c>
      <c r="J188" s="99">
        <v>2000</v>
      </c>
      <c r="K188" s="27" t="s">
        <v>9968</v>
      </c>
      <c r="L188" s="15" t="s">
        <v>9874</v>
      </c>
      <c r="M188" s="15" t="s">
        <v>9991</v>
      </c>
      <c r="N188" s="94" t="str">
        <f t="shared" si="4"/>
        <v>Sim</v>
      </c>
      <c r="O188" s="15">
        <v>0</v>
      </c>
      <c r="P188" s="15">
        <v>5000</v>
      </c>
    </row>
    <row r="189" spans="1:16" ht="17.25" customHeight="1" x14ac:dyDescent="0.35">
      <c r="A189" s="117"/>
      <c r="B189" s="91" t="s">
        <v>9866</v>
      </c>
      <c r="C189" s="91" t="s">
        <v>10294</v>
      </c>
      <c r="D189" s="96" t="s">
        <v>10110</v>
      </c>
      <c r="E189" s="97" t="s">
        <v>10238</v>
      </c>
      <c r="F189" s="94" t="s">
        <v>9687</v>
      </c>
      <c r="G189" s="94" t="s">
        <v>9719</v>
      </c>
      <c r="H189" s="15" t="s">
        <v>9952</v>
      </c>
      <c r="I189" s="99">
        <v>10</v>
      </c>
      <c r="J189" s="99">
        <v>10</v>
      </c>
      <c r="K189" s="27" t="s">
        <v>9968</v>
      </c>
      <c r="L189" s="15" t="s">
        <v>9874</v>
      </c>
      <c r="M189" s="15" t="s">
        <v>10331</v>
      </c>
      <c r="N189" s="94" t="str">
        <f t="shared" si="4"/>
        <v>Sim</v>
      </c>
      <c r="O189" s="15">
        <v>0</v>
      </c>
      <c r="P189" s="15">
        <v>10</v>
      </c>
    </row>
    <row r="190" spans="1:16" ht="17.25" customHeight="1" x14ac:dyDescent="0.35">
      <c r="A190" s="117"/>
      <c r="B190" s="91" t="s">
        <v>9866</v>
      </c>
      <c r="C190" s="91" t="s">
        <v>10294</v>
      </c>
      <c r="D190" s="96" t="s">
        <v>10111</v>
      </c>
      <c r="E190" s="97" t="s">
        <v>10235</v>
      </c>
      <c r="F190" s="94" t="s">
        <v>9687</v>
      </c>
      <c r="G190" s="94" t="s">
        <v>9719</v>
      </c>
      <c r="H190" s="15" t="s">
        <v>9870</v>
      </c>
      <c r="I190" s="99">
        <v>25</v>
      </c>
      <c r="J190" s="99">
        <v>25</v>
      </c>
      <c r="K190" s="27" t="s">
        <v>9968</v>
      </c>
      <c r="L190" s="15" t="s">
        <v>9874</v>
      </c>
      <c r="M190" s="15" t="s">
        <v>10332</v>
      </c>
      <c r="N190" s="94" t="str">
        <f t="shared" si="4"/>
        <v>Sim</v>
      </c>
      <c r="O190" s="15">
        <v>0</v>
      </c>
      <c r="P190" s="15">
        <v>100</v>
      </c>
    </row>
    <row r="191" spans="1:16" ht="17.25" customHeight="1" x14ac:dyDescent="0.35">
      <c r="A191" s="117"/>
      <c r="B191" s="91" t="s">
        <v>9866</v>
      </c>
      <c r="C191" s="91" t="s">
        <v>10295</v>
      </c>
      <c r="D191" s="96" t="s">
        <v>10112</v>
      </c>
      <c r="E191" s="97" t="s">
        <v>10236</v>
      </c>
      <c r="F191" s="94" t="s">
        <v>9687</v>
      </c>
      <c r="G191" s="94" t="s">
        <v>9719</v>
      </c>
      <c r="H191" s="15" t="s">
        <v>9873</v>
      </c>
      <c r="I191" s="99">
        <v>50</v>
      </c>
      <c r="J191" s="99">
        <v>50</v>
      </c>
      <c r="K191" s="27" t="s">
        <v>9968</v>
      </c>
      <c r="L191" s="15" t="s">
        <v>9874</v>
      </c>
      <c r="M191" s="15" t="s">
        <v>9992</v>
      </c>
      <c r="N191" s="94" t="str">
        <f t="shared" si="4"/>
        <v>Sim</v>
      </c>
      <c r="O191" s="15">
        <v>0</v>
      </c>
      <c r="P191" s="15">
        <v>500</v>
      </c>
    </row>
    <row r="192" spans="1:16" ht="17.25" customHeight="1" x14ac:dyDescent="0.35">
      <c r="A192" s="117"/>
      <c r="B192" s="91" t="s">
        <v>9866</v>
      </c>
      <c r="C192" s="91" t="s">
        <v>10295</v>
      </c>
      <c r="D192" s="96" t="s">
        <v>10113</v>
      </c>
      <c r="E192" s="97" t="s">
        <v>10237</v>
      </c>
      <c r="F192" s="94" t="s">
        <v>9687</v>
      </c>
      <c r="G192" s="94" t="s">
        <v>9719</v>
      </c>
      <c r="H192" s="15" t="s">
        <v>9872</v>
      </c>
      <c r="I192" s="99">
        <v>2250</v>
      </c>
      <c r="J192" s="99">
        <v>2250</v>
      </c>
      <c r="K192" s="27" t="s">
        <v>9968</v>
      </c>
      <c r="L192" s="15" t="s">
        <v>9874</v>
      </c>
      <c r="M192" s="15" t="s">
        <v>9993</v>
      </c>
      <c r="N192" s="94" t="str">
        <f t="shared" si="4"/>
        <v>Sim</v>
      </c>
      <c r="O192" s="15">
        <v>0</v>
      </c>
      <c r="P192" s="15">
        <v>5000</v>
      </c>
    </row>
    <row r="193" spans="1:16" ht="17.25" customHeight="1" x14ac:dyDescent="0.35">
      <c r="A193" s="117"/>
      <c r="B193" s="91" t="s">
        <v>9866</v>
      </c>
      <c r="C193" s="91" t="s">
        <v>10295</v>
      </c>
      <c r="D193" s="96" t="s">
        <v>10110</v>
      </c>
      <c r="E193" s="97" t="s">
        <v>10239</v>
      </c>
      <c r="F193" s="94" t="s">
        <v>9687</v>
      </c>
      <c r="G193" s="94" t="s">
        <v>9719</v>
      </c>
      <c r="H193" s="15" t="s">
        <v>9952</v>
      </c>
      <c r="I193" s="99">
        <v>5</v>
      </c>
      <c r="J193" s="99">
        <v>5</v>
      </c>
      <c r="K193" s="27" t="s">
        <v>9968</v>
      </c>
      <c r="L193" s="15" t="s">
        <v>9874</v>
      </c>
      <c r="M193" s="15" t="s">
        <v>9994</v>
      </c>
      <c r="N193" s="94" t="str">
        <f t="shared" si="4"/>
        <v>Sim</v>
      </c>
      <c r="O193" s="15">
        <v>0</v>
      </c>
      <c r="P193" s="15">
        <v>10</v>
      </c>
    </row>
    <row r="194" spans="1:16" ht="17.25" customHeight="1" x14ac:dyDescent="0.35">
      <c r="A194" s="117"/>
      <c r="B194" s="91" t="s">
        <v>9866</v>
      </c>
      <c r="C194" s="91" t="s">
        <v>10295</v>
      </c>
      <c r="D194" s="96" t="s">
        <v>10114</v>
      </c>
      <c r="E194" s="97" t="s">
        <v>10240</v>
      </c>
      <c r="F194" s="94" t="s">
        <v>9687</v>
      </c>
      <c r="G194" s="94" t="s">
        <v>9719</v>
      </c>
      <c r="H194" s="15" t="s">
        <v>9870</v>
      </c>
      <c r="I194" s="99">
        <v>25</v>
      </c>
      <c r="J194" s="99">
        <v>25</v>
      </c>
      <c r="K194" s="27" t="s">
        <v>9968</v>
      </c>
      <c r="L194" s="15" t="s">
        <v>9874</v>
      </c>
      <c r="M194" s="15" t="s">
        <v>9995</v>
      </c>
      <c r="N194" s="94" t="str">
        <f t="shared" si="4"/>
        <v>Sim</v>
      </c>
      <c r="O194" s="15">
        <v>0</v>
      </c>
      <c r="P194" s="15">
        <v>100</v>
      </c>
    </row>
    <row r="195" spans="1:16" ht="17.25" customHeight="1" x14ac:dyDescent="0.35">
      <c r="A195" s="117" t="s">
        <v>10116</v>
      </c>
      <c r="B195" s="91" t="s">
        <v>9866</v>
      </c>
      <c r="C195" s="91" t="s">
        <v>10293</v>
      </c>
      <c r="D195" s="96" t="s">
        <v>10097</v>
      </c>
      <c r="E195" s="97" t="s">
        <v>10241</v>
      </c>
      <c r="F195" s="94" t="s">
        <v>9687</v>
      </c>
      <c r="G195" s="94" t="s">
        <v>9719</v>
      </c>
      <c r="H195" s="15" t="s">
        <v>9869</v>
      </c>
      <c r="I195" s="99">
        <v>4500000</v>
      </c>
      <c r="J195" s="99">
        <v>4500000</v>
      </c>
      <c r="K195" s="27" t="s">
        <v>9968</v>
      </c>
      <c r="L195" s="15" t="s">
        <v>9874</v>
      </c>
      <c r="M195" s="15" t="s">
        <v>9988</v>
      </c>
      <c r="N195" s="94" t="str">
        <f t="shared" si="4"/>
        <v>Sim</v>
      </c>
      <c r="O195" s="15">
        <v>0</v>
      </c>
      <c r="P195" s="15">
        <v>10000000</v>
      </c>
    </row>
    <row r="196" spans="1:16" ht="17.25" customHeight="1" x14ac:dyDescent="0.35">
      <c r="A196" s="117"/>
      <c r="B196" s="91" t="s">
        <v>9866</v>
      </c>
      <c r="C196" s="91" t="s">
        <v>10293</v>
      </c>
      <c r="D196" s="96" t="s">
        <v>10098</v>
      </c>
      <c r="E196" s="97" t="s">
        <v>10242</v>
      </c>
      <c r="F196" s="94" t="s">
        <v>9687</v>
      </c>
      <c r="G196" s="94" t="s">
        <v>9719</v>
      </c>
      <c r="H196" s="15" t="s">
        <v>9870</v>
      </c>
      <c r="I196" s="99">
        <v>25</v>
      </c>
      <c r="J196" s="99">
        <v>25</v>
      </c>
      <c r="K196" s="27" t="s">
        <v>9968</v>
      </c>
      <c r="L196" s="15" t="s">
        <v>9874</v>
      </c>
      <c r="M196" s="15" t="s">
        <v>9989</v>
      </c>
      <c r="N196" s="94" t="str">
        <f t="shared" si="4"/>
        <v>Sim</v>
      </c>
      <c r="O196" s="15">
        <v>0</v>
      </c>
      <c r="P196" s="15">
        <v>500</v>
      </c>
    </row>
    <row r="197" spans="1:16" ht="17.25" customHeight="1" x14ac:dyDescent="0.35">
      <c r="A197" s="117"/>
      <c r="B197" s="91" t="s">
        <v>9866</v>
      </c>
      <c r="C197" s="91" t="s">
        <v>10294</v>
      </c>
      <c r="D197" s="96" t="s">
        <v>10099</v>
      </c>
      <c r="E197" s="97" t="s">
        <v>10243</v>
      </c>
      <c r="F197" s="94" t="s">
        <v>9687</v>
      </c>
      <c r="G197" s="94" t="s">
        <v>9719</v>
      </c>
      <c r="H197" s="15" t="s">
        <v>9871</v>
      </c>
      <c r="I197" s="99">
        <v>25</v>
      </c>
      <c r="J197" s="99">
        <v>25</v>
      </c>
      <c r="K197" s="27" t="s">
        <v>9968</v>
      </c>
      <c r="L197" s="15" t="s">
        <v>9874</v>
      </c>
      <c r="M197" s="15" t="s">
        <v>9990</v>
      </c>
      <c r="N197" s="94" t="str">
        <f t="shared" si="4"/>
        <v>Sim</v>
      </c>
      <c r="O197" s="15">
        <v>0</v>
      </c>
      <c r="P197" s="15">
        <v>500</v>
      </c>
    </row>
    <row r="198" spans="1:16" ht="17.25" customHeight="1" x14ac:dyDescent="0.35">
      <c r="A198" s="117"/>
      <c r="B198" s="91" t="s">
        <v>9866</v>
      </c>
      <c r="C198" s="91" t="s">
        <v>10294</v>
      </c>
      <c r="D198" s="96" t="s">
        <v>10100</v>
      </c>
      <c r="E198" s="97" t="s">
        <v>10244</v>
      </c>
      <c r="F198" s="94" t="s">
        <v>9687</v>
      </c>
      <c r="G198" s="94" t="s">
        <v>9719</v>
      </c>
      <c r="H198" s="15" t="s">
        <v>9872</v>
      </c>
      <c r="I198" s="99">
        <v>2000</v>
      </c>
      <c r="J198" s="99">
        <v>2000</v>
      </c>
      <c r="K198" s="27" t="s">
        <v>9968</v>
      </c>
      <c r="L198" s="15" t="s">
        <v>9874</v>
      </c>
      <c r="M198" s="15" t="s">
        <v>9991</v>
      </c>
      <c r="N198" s="94" t="str">
        <f t="shared" si="4"/>
        <v>Sim</v>
      </c>
      <c r="O198" s="15">
        <v>0</v>
      </c>
      <c r="P198" s="15">
        <v>5000</v>
      </c>
    </row>
    <row r="199" spans="1:16" ht="17.25" customHeight="1" x14ac:dyDescent="0.35">
      <c r="A199" s="117"/>
      <c r="B199" s="91" t="s">
        <v>9866</v>
      </c>
      <c r="C199" s="91" t="s">
        <v>10294</v>
      </c>
      <c r="D199" s="96" t="s">
        <v>10101</v>
      </c>
      <c r="E199" s="97" t="s">
        <v>10245</v>
      </c>
      <c r="F199" s="94" t="s">
        <v>9687</v>
      </c>
      <c r="G199" s="94" t="s">
        <v>9719</v>
      </c>
      <c r="H199" s="15" t="s">
        <v>9952</v>
      </c>
      <c r="I199" s="99">
        <v>10</v>
      </c>
      <c r="J199" s="99">
        <v>10</v>
      </c>
      <c r="K199" s="27" t="s">
        <v>9968</v>
      </c>
      <c r="L199" s="15" t="s">
        <v>9874</v>
      </c>
      <c r="M199" s="15" t="s">
        <v>10331</v>
      </c>
      <c r="N199" s="94" t="str">
        <f t="shared" si="4"/>
        <v>Sim</v>
      </c>
      <c r="O199" s="15">
        <v>0</v>
      </c>
      <c r="P199" s="15">
        <v>10</v>
      </c>
    </row>
    <row r="200" spans="1:16" ht="17.25" customHeight="1" x14ac:dyDescent="0.35">
      <c r="A200" s="117"/>
      <c r="B200" s="91" t="s">
        <v>9866</v>
      </c>
      <c r="C200" s="91" t="s">
        <v>10294</v>
      </c>
      <c r="D200" s="96" t="s">
        <v>10102</v>
      </c>
      <c r="E200" s="97" t="s">
        <v>10246</v>
      </c>
      <c r="F200" s="94" t="s">
        <v>9687</v>
      </c>
      <c r="G200" s="94" t="s">
        <v>9719</v>
      </c>
      <c r="H200" s="15" t="s">
        <v>9870</v>
      </c>
      <c r="I200" s="99">
        <v>25</v>
      </c>
      <c r="J200" s="99">
        <v>25</v>
      </c>
      <c r="K200" s="27" t="s">
        <v>9968</v>
      </c>
      <c r="L200" s="15" t="s">
        <v>9874</v>
      </c>
      <c r="M200" s="15" t="s">
        <v>10332</v>
      </c>
      <c r="N200" s="94" t="str">
        <f t="shared" si="4"/>
        <v>Sim</v>
      </c>
      <c r="O200" s="15">
        <v>0</v>
      </c>
      <c r="P200" s="15">
        <v>100</v>
      </c>
    </row>
    <row r="201" spans="1:16" ht="17.25" customHeight="1" x14ac:dyDescent="0.35">
      <c r="A201" s="117"/>
      <c r="B201" s="91" t="s">
        <v>9866</v>
      </c>
      <c r="C201" s="91" t="s">
        <v>10295</v>
      </c>
      <c r="D201" s="96" t="s">
        <v>10103</v>
      </c>
      <c r="E201" s="97" t="s">
        <v>10247</v>
      </c>
      <c r="F201" s="94" t="s">
        <v>9687</v>
      </c>
      <c r="G201" s="94" t="s">
        <v>9719</v>
      </c>
      <c r="H201" s="15" t="s">
        <v>9873</v>
      </c>
      <c r="I201" s="99">
        <v>50</v>
      </c>
      <c r="J201" s="99">
        <v>50</v>
      </c>
      <c r="K201" s="27" t="s">
        <v>9968</v>
      </c>
      <c r="L201" s="15" t="s">
        <v>9874</v>
      </c>
      <c r="M201" s="15" t="s">
        <v>9993</v>
      </c>
      <c r="N201" s="94" t="str">
        <f t="shared" si="4"/>
        <v>Sim</v>
      </c>
      <c r="O201" s="15">
        <v>0</v>
      </c>
      <c r="P201" s="15">
        <v>500</v>
      </c>
    </row>
    <row r="202" spans="1:16" ht="17.25" customHeight="1" x14ac:dyDescent="0.35">
      <c r="A202" s="117"/>
      <c r="B202" s="91" t="s">
        <v>9866</v>
      </c>
      <c r="C202" s="91" t="s">
        <v>10295</v>
      </c>
      <c r="D202" s="96" t="s">
        <v>10104</v>
      </c>
      <c r="E202" s="97" t="s">
        <v>10248</v>
      </c>
      <c r="F202" s="94" t="s">
        <v>9687</v>
      </c>
      <c r="G202" s="94" t="s">
        <v>9719</v>
      </c>
      <c r="H202" s="15" t="s">
        <v>9872</v>
      </c>
      <c r="I202" s="99">
        <v>2250</v>
      </c>
      <c r="J202" s="99">
        <v>2250</v>
      </c>
      <c r="K202" s="27" t="s">
        <v>9968</v>
      </c>
      <c r="L202" s="15" t="s">
        <v>9874</v>
      </c>
      <c r="M202" s="15" t="s">
        <v>9994</v>
      </c>
      <c r="N202" s="94" t="str">
        <f t="shared" si="4"/>
        <v>Sim</v>
      </c>
      <c r="O202" s="15">
        <v>0</v>
      </c>
      <c r="P202" s="15">
        <v>5000</v>
      </c>
    </row>
    <row r="203" spans="1:16" ht="17.25" customHeight="1" x14ac:dyDescent="0.35">
      <c r="A203" s="117"/>
      <c r="B203" s="91" t="s">
        <v>9866</v>
      </c>
      <c r="C203" s="91" t="s">
        <v>10295</v>
      </c>
      <c r="D203" s="96" t="s">
        <v>10101</v>
      </c>
      <c r="E203" s="97" t="s">
        <v>10249</v>
      </c>
      <c r="F203" s="94" t="s">
        <v>9687</v>
      </c>
      <c r="G203" s="94" t="s">
        <v>9719</v>
      </c>
      <c r="H203" s="15" t="s">
        <v>9952</v>
      </c>
      <c r="I203" s="99">
        <v>5</v>
      </c>
      <c r="J203" s="99">
        <v>5</v>
      </c>
      <c r="K203" s="27" t="s">
        <v>9968</v>
      </c>
      <c r="L203" s="15" t="s">
        <v>9874</v>
      </c>
      <c r="M203" s="15" t="s">
        <v>10333</v>
      </c>
      <c r="N203" s="94" t="str">
        <f t="shared" si="4"/>
        <v>Sim</v>
      </c>
      <c r="O203" s="15">
        <v>0</v>
      </c>
      <c r="P203" s="15">
        <v>10</v>
      </c>
    </row>
    <row r="204" spans="1:16" ht="17.25" customHeight="1" x14ac:dyDescent="0.35">
      <c r="A204" s="117"/>
      <c r="B204" s="91" t="s">
        <v>9866</v>
      </c>
      <c r="C204" s="91" t="s">
        <v>10295</v>
      </c>
      <c r="D204" s="96" t="s">
        <v>10105</v>
      </c>
      <c r="E204" s="97" t="s">
        <v>10250</v>
      </c>
      <c r="F204" s="94" t="s">
        <v>9687</v>
      </c>
      <c r="G204" s="94" t="s">
        <v>9719</v>
      </c>
      <c r="H204" s="15" t="s">
        <v>9870</v>
      </c>
      <c r="I204" s="99">
        <v>25</v>
      </c>
      <c r="J204" s="99">
        <v>25</v>
      </c>
      <c r="K204" s="27" t="s">
        <v>9968</v>
      </c>
      <c r="L204" s="15" t="s">
        <v>9874</v>
      </c>
      <c r="M204" s="15" t="s">
        <v>10334</v>
      </c>
      <c r="N204" s="94" t="str">
        <f t="shared" si="4"/>
        <v>Sim</v>
      </c>
      <c r="O204" s="15">
        <v>0</v>
      </c>
      <c r="P204" s="15">
        <v>100</v>
      </c>
    </row>
    <row r="205" spans="1:16" ht="17.25" customHeight="1" x14ac:dyDescent="0.35">
      <c r="A205" s="90" t="s">
        <v>10359</v>
      </c>
      <c r="B205" s="91" t="s">
        <v>9866</v>
      </c>
      <c r="C205" s="91" t="s">
        <v>10360</v>
      </c>
      <c r="D205" s="96" t="s">
        <v>10361</v>
      </c>
      <c r="E205" s="97" t="s">
        <v>10362</v>
      </c>
      <c r="F205" s="94" t="s">
        <v>9642</v>
      </c>
      <c r="G205" s="94" t="s">
        <v>9719</v>
      </c>
      <c r="H205" s="15" t="s">
        <v>9780</v>
      </c>
      <c r="I205" s="99" t="s">
        <v>9720</v>
      </c>
      <c r="J205" s="99" t="s">
        <v>9780</v>
      </c>
      <c r="K205" s="27" t="s">
        <v>9780</v>
      </c>
      <c r="L205" s="15" t="s">
        <v>9780</v>
      </c>
      <c r="M205" s="15" t="s">
        <v>9780</v>
      </c>
      <c r="N205" s="94" t="str">
        <f t="shared" si="4"/>
        <v>Sim</v>
      </c>
      <c r="O205" s="15" t="s">
        <v>9780</v>
      </c>
      <c r="P205" s="15" t="s">
        <v>9780</v>
      </c>
    </row>
    <row r="206" spans="1:16" ht="17.25" customHeight="1" x14ac:dyDescent="0.35">
      <c r="A206" s="118" t="s">
        <v>10358</v>
      </c>
      <c r="B206" s="3" t="s">
        <v>10340</v>
      </c>
      <c r="C206" s="3" t="s">
        <v>10565</v>
      </c>
      <c r="D206" s="92" t="s">
        <v>10341</v>
      </c>
      <c r="E206" s="93" t="s">
        <v>10341</v>
      </c>
      <c r="F206" s="3" t="s">
        <v>9642</v>
      </c>
      <c r="G206" s="94" t="s">
        <v>9719</v>
      </c>
      <c r="H206" s="3" t="s">
        <v>9780</v>
      </c>
      <c r="I206"/>
      <c r="J206" t="s">
        <v>10421</v>
      </c>
      <c r="K206" s="3" t="s">
        <v>9780</v>
      </c>
      <c r="L206" s="3" t="s">
        <v>9780</v>
      </c>
      <c r="M206" s="3" t="s">
        <v>9780</v>
      </c>
      <c r="N206" s="94" t="str">
        <f t="shared" ref="N206" si="5">IF(F206="String",IF(I206&lt;&gt;"","Sim","Não"),IF(F206="List",IF(I206&lt;&gt;"","Sim","Não"),IF(AND(I206&gt;=O206,I206&lt;=P206,I206&lt;&gt;""),"Sim","Não")))</f>
        <v>Não</v>
      </c>
      <c r="O206" s="3" t="s">
        <v>9780</v>
      </c>
      <c r="P206" s="3" t="s">
        <v>9780</v>
      </c>
    </row>
    <row r="207" spans="1:16" ht="17.25" customHeight="1" x14ac:dyDescent="0.35">
      <c r="A207" s="118"/>
      <c r="B207" s="3" t="s">
        <v>10340</v>
      </c>
      <c r="C207" s="3" t="s">
        <v>10565</v>
      </c>
      <c r="D207" s="92" t="s">
        <v>10342</v>
      </c>
      <c r="E207" s="93" t="s">
        <v>10342</v>
      </c>
      <c r="F207" s="3" t="s">
        <v>9642</v>
      </c>
      <c r="G207" s="94" t="s">
        <v>9719</v>
      </c>
      <c r="H207" s="3" t="s">
        <v>9780</v>
      </c>
      <c r="I207"/>
      <c r="J207" t="s">
        <v>10422</v>
      </c>
      <c r="K207" s="3" t="s">
        <v>9780</v>
      </c>
      <c r="L207" s="3" t="s">
        <v>9780</v>
      </c>
      <c r="M207" s="3" t="s">
        <v>9780</v>
      </c>
      <c r="N207" s="94" t="str">
        <f t="shared" ref="N207" si="6">IF(F207="String",IF(I207&lt;&gt;"","Sim","Não"),IF(F207="List",IF(I207&lt;&gt;"","Sim","Não"),IF(AND(I207&gt;=O207,I207&lt;=P207,I207&lt;&gt;""),"Sim","Não")))</f>
        <v>Não</v>
      </c>
      <c r="O207" s="3" t="s">
        <v>9780</v>
      </c>
      <c r="P207" s="3" t="s">
        <v>9780</v>
      </c>
    </row>
    <row r="208" spans="1:16" ht="17.25" customHeight="1" x14ac:dyDescent="0.35">
      <c r="A208" s="118"/>
      <c r="B208" s="3" t="s">
        <v>10340</v>
      </c>
      <c r="C208" s="3" t="s">
        <v>10565</v>
      </c>
      <c r="D208" s="92" t="s">
        <v>10343</v>
      </c>
      <c r="E208" s="93" t="s">
        <v>10343</v>
      </c>
      <c r="F208" s="3" t="s">
        <v>9642</v>
      </c>
      <c r="G208" s="94" t="s">
        <v>9719</v>
      </c>
      <c r="H208" s="3" t="s">
        <v>9780</v>
      </c>
      <c r="I208"/>
      <c r="J208" t="s">
        <v>10423</v>
      </c>
      <c r="K208" s="3" t="s">
        <v>9780</v>
      </c>
      <c r="L208" s="3" t="s">
        <v>9780</v>
      </c>
      <c r="M208" s="3" t="s">
        <v>9780</v>
      </c>
      <c r="N208" s="94" t="str">
        <f t="shared" ref="N208:N220" si="7">IF(F208="String",IF(I208&lt;&gt;"","Sim","Não"),IF(F208="List",IF(I208&lt;&gt;"","Sim","Não"),IF(AND(I208&gt;=O208,I208&lt;=P208,I208&lt;&gt;""),"Sim","Não")))</f>
        <v>Não</v>
      </c>
      <c r="O208" s="3" t="s">
        <v>9780</v>
      </c>
      <c r="P208" s="3" t="s">
        <v>9780</v>
      </c>
    </row>
    <row r="209" spans="1:16" ht="17.25" customHeight="1" x14ac:dyDescent="0.35">
      <c r="A209" s="118"/>
      <c r="B209" s="3" t="s">
        <v>10340</v>
      </c>
      <c r="C209" s="3" t="s">
        <v>10565</v>
      </c>
      <c r="D209" s="92" t="s">
        <v>10344</v>
      </c>
      <c r="E209" s="93" t="s">
        <v>10344</v>
      </c>
      <c r="F209" s="3" t="s">
        <v>9642</v>
      </c>
      <c r="G209" s="94" t="s">
        <v>9719</v>
      </c>
      <c r="H209" s="3" t="s">
        <v>9780</v>
      </c>
      <c r="I209"/>
      <c r="J209" t="s">
        <v>10424</v>
      </c>
      <c r="K209" s="3" t="s">
        <v>9780</v>
      </c>
      <c r="L209" s="3" t="s">
        <v>9780</v>
      </c>
      <c r="M209" s="3" t="s">
        <v>9780</v>
      </c>
      <c r="N209" s="94" t="str">
        <f t="shared" si="7"/>
        <v>Não</v>
      </c>
      <c r="O209" s="3" t="s">
        <v>9780</v>
      </c>
      <c r="P209" s="3" t="s">
        <v>9780</v>
      </c>
    </row>
    <row r="210" spans="1:16" ht="17.25" customHeight="1" x14ac:dyDescent="0.35">
      <c r="A210" s="118"/>
      <c r="B210" s="3" t="s">
        <v>10340</v>
      </c>
      <c r="C210" s="3" t="s">
        <v>10565</v>
      </c>
      <c r="D210" s="92" t="s">
        <v>10345</v>
      </c>
      <c r="E210" s="93" t="s">
        <v>10345</v>
      </c>
      <c r="F210" s="3" t="s">
        <v>9642</v>
      </c>
      <c r="G210" s="94" t="s">
        <v>9719</v>
      </c>
      <c r="H210" s="3" t="s">
        <v>9780</v>
      </c>
      <c r="I210"/>
      <c r="J210" t="s">
        <v>10425</v>
      </c>
      <c r="K210" s="3" t="s">
        <v>9780</v>
      </c>
      <c r="L210" s="3" t="s">
        <v>9780</v>
      </c>
      <c r="M210" s="3" t="s">
        <v>9780</v>
      </c>
      <c r="N210" s="94" t="str">
        <f t="shared" si="7"/>
        <v>Não</v>
      </c>
      <c r="O210" s="3" t="s">
        <v>9780</v>
      </c>
      <c r="P210" s="3" t="s">
        <v>9780</v>
      </c>
    </row>
    <row r="211" spans="1:16" ht="17.25" customHeight="1" x14ac:dyDescent="0.35">
      <c r="A211" s="118"/>
      <c r="B211" s="3" t="s">
        <v>10340</v>
      </c>
      <c r="C211" s="3" t="s">
        <v>10565</v>
      </c>
      <c r="D211" s="92" t="s">
        <v>10346</v>
      </c>
      <c r="E211" s="93" t="s">
        <v>10346</v>
      </c>
      <c r="F211" s="3" t="s">
        <v>9642</v>
      </c>
      <c r="G211" s="94" t="s">
        <v>9719</v>
      </c>
      <c r="H211" s="3" t="s">
        <v>9780</v>
      </c>
      <c r="I211"/>
      <c r="J211" t="s">
        <v>10434</v>
      </c>
      <c r="K211" s="3" t="s">
        <v>9780</v>
      </c>
      <c r="L211" s="3" t="s">
        <v>9780</v>
      </c>
      <c r="M211" s="3" t="s">
        <v>9780</v>
      </c>
      <c r="N211" s="94" t="str">
        <f t="shared" si="7"/>
        <v>Não</v>
      </c>
      <c r="O211" s="3" t="s">
        <v>9780</v>
      </c>
      <c r="P211" s="3" t="s">
        <v>9780</v>
      </c>
    </row>
    <row r="212" spans="1:16" ht="17.25" customHeight="1" x14ac:dyDescent="0.35">
      <c r="A212" s="118"/>
      <c r="B212" s="3" t="s">
        <v>10340</v>
      </c>
      <c r="C212" s="3" t="s">
        <v>10565</v>
      </c>
      <c r="D212" s="92" t="s">
        <v>10347</v>
      </c>
      <c r="E212" s="93" t="s">
        <v>10357</v>
      </c>
      <c r="F212" s="3" t="s">
        <v>9642</v>
      </c>
      <c r="G212" s="94" t="s">
        <v>9719</v>
      </c>
      <c r="H212" s="3" t="s">
        <v>9780</v>
      </c>
      <c r="I212"/>
      <c r="J212" t="s">
        <v>10426</v>
      </c>
      <c r="K212" s="3" t="s">
        <v>9780</v>
      </c>
      <c r="L212" s="3" t="s">
        <v>9780</v>
      </c>
      <c r="M212" s="3" t="s">
        <v>9780</v>
      </c>
      <c r="N212" s="94" t="str">
        <f t="shared" si="7"/>
        <v>Não</v>
      </c>
      <c r="O212" s="3" t="s">
        <v>9780</v>
      </c>
      <c r="P212" s="3" t="s">
        <v>9780</v>
      </c>
    </row>
    <row r="213" spans="1:16" ht="17.25" customHeight="1" x14ac:dyDescent="0.35">
      <c r="A213" s="118"/>
      <c r="B213" s="3" t="s">
        <v>10340</v>
      </c>
      <c r="C213" s="3" t="s">
        <v>10565</v>
      </c>
      <c r="D213" s="92" t="s">
        <v>10348</v>
      </c>
      <c r="E213" s="93" t="s">
        <v>10348</v>
      </c>
      <c r="F213" s="3" t="s">
        <v>9642</v>
      </c>
      <c r="G213" s="94" t="s">
        <v>9719</v>
      </c>
      <c r="H213" s="3" t="s">
        <v>9780</v>
      </c>
      <c r="I213"/>
      <c r="J213" t="s">
        <v>10427</v>
      </c>
      <c r="K213" s="3" t="s">
        <v>9780</v>
      </c>
      <c r="L213" s="3" t="s">
        <v>9780</v>
      </c>
      <c r="M213" s="3" t="s">
        <v>9780</v>
      </c>
      <c r="N213" s="94" t="str">
        <f t="shared" si="7"/>
        <v>Não</v>
      </c>
      <c r="O213" s="3" t="s">
        <v>9780</v>
      </c>
      <c r="P213" s="3" t="s">
        <v>9780</v>
      </c>
    </row>
    <row r="214" spans="1:16" ht="17.25" customHeight="1" x14ac:dyDescent="0.35">
      <c r="A214" s="118"/>
      <c r="B214" s="3" t="s">
        <v>10340</v>
      </c>
      <c r="C214" s="3" t="s">
        <v>10565</v>
      </c>
      <c r="D214" s="92" t="s">
        <v>10349</v>
      </c>
      <c r="E214" s="93" t="s">
        <v>10356</v>
      </c>
      <c r="F214" s="3" t="s">
        <v>9642</v>
      </c>
      <c r="G214" s="94" t="s">
        <v>9719</v>
      </c>
      <c r="H214" s="3" t="s">
        <v>9780</v>
      </c>
      <c r="I214"/>
      <c r="J214" t="s">
        <v>10428</v>
      </c>
      <c r="K214" s="3" t="s">
        <v>9780</v>
      </c>
      <c r="L214" s="3" t="s">
        <v>9780</v>
      </c>
      <c r="M214" s="3" t="s">
        <v>9780</v>
      </c>
      <c r="N214" s="94" t="str">
        <f t="shared" si="7"/>
        <v>Não</v>
      </c>
      <c r="O214" s="3" t="s">
        <v>9780</v>
      </c>
      <c r="P214" s="3" t="s">
        <v>9780</v>
      </c>
    </row>
    <row r="215" spans="1:16" ht="17.25" customHeight="1" x14ac:dyDescent="0.35">
      <c r="A215" s="118"/>
      <c r="B215" s="3" t="s">
        <v>10340</v>
      </c>
      <c r="C215" s="3" t="s">
        <v>10565</v>
      </c>
      <c r="D215" s="92" t="s">
        <v>10350</v>
      </c>
      <c r="E215" s="93" t="s">
        <v>10350</v>
      </c>
      <c r="F215" s="3" t="s">
        <v>9642</v>
      </c>
      <c r="G215" s="94" t="s">
        <v>9719</v>
      </c>
      <c r="H215" s="3" t="s">
        <v>9780</v>
      </c>
      <c r="I215"/>
      <c r="J215" t="s">
        <v>10429</v>
      </c>
      <c r="K215" s="3" t="s">
        <v>9780</v>
      </c>
      <c r="L215" s="3" t="s">
        <v>9780</v>
      </c>
      <c r="M215" s="3" t="s">
        <v>9780</v>
      </c>
      <c r="N215" s="94" t="str">
        <f t="shared" si="7"/>
        <v>Não</v>
      </c>
      <c r="O215" s="3" t="s">
        <v>9780</v>
      </c>
      <c r="P215" s="3" t="s">
        <v>9780</v>
      </c>
    </row>
    <row r="216" spans="1:16" ht="17.25" customHeight="1" x14ac:dyDescent="0.35">
      <c r="A216" s="118"/>
      <c r="B216" s="3" t="s">
        <v>10340</v>
      </c>
      <c r="C216" s="3" t="s">
        <v>10565</v>
      </c>
      <c r="D216" s="92" t="s">
        <v>10351</v>
      </c>
      <c r="E216" s="93" t="s">
        <v>10351</v>
      </c>
      <c r="F216" s="3" t="s">
        <v>9642</v>
      </c>
      <c r="G216" s="94" t="s">
        <v>9719</v>
      </c>
      <c r="H216" s="3" t="s">
        <v>9780</v>
      </c>
      <c r="I216"/>
      <c r="J216" t="s">
        <v>10430</v>
      </c>
      <c r="K216" s="3" t="s">
        <v>9780</v>
      </c>
      <c r="L216" s="3" t="s">
        <v>9780</v>
      </c>
      <c r="M216" s="3" t="s">
        <v>9780</v>
      </c>
      <c r="N216" s="94" t="str">
        <f t="shared" si="7"/>
        <v>Não</v>
      </c>
      <c r="O216" s="3" t="s">
        <v>9780</v>
      </c>
      <c r="P216" s="3" t="s">
        <v>9780</v>
      </c>
    </row>
    <row r="217" spans="1:16" ht="17.25" customHeight="1" x14ac:dyDescent="0.35">
      <c r="A217" s="118"/>
      <c r="B217" s="3" t="s">
        <v>10340</v>
      </c>
      <c r="C217" s="3" t="s">
        <v>10565</v>
      </c>
      <c r="D217" s="92" t="s">
        <v>10352</v>
      </c>
      <c r="E217" s="93" t="s">
        <v>10352</v>
      </c>
      <c r="F217" s="3" t="s">
        <v>9642</v>
      </c>
      <c r="G217" s="94" t="s">
        <v>9719</v>
      </c>
      <c r="H217" s="3" t="s">
        <v>9780</v>
      </c>
      <c r="I217"/>
      <c r="J217" t="s">
        <v>10430</v>
      </c>
      <c r="K217" s="3" t="s">
        <v>9780</v>
      </c>
      <c r="L217" s="3" t="s">
        <v>9780</v>
      </c>
      <c r="M217" s="3" t="s">
        <v>9780</v>
      </c>
      <c r="N217" s="94" t="str">
        <f t="shared" si="7"/>
        <v>Não</v>
      </c>
      <c r="O217" s="3" t="s">
        <v>9780</v>
      </c>
      <c r="P217" s="3" t="s">
        <v>9780</v>
      </c>
    </row>
    <row r="218" spans="1:16" ht="17.25" customHeight="1" x14ac:dyDescent="0.35">
      <c r="A218" s="118"/>
      <c r="B218" s="3" t="s">
        <v>10340</v>
      </c>
      <c r="C218" s="3" t="s">
        <v>10565</v>
      </c>
      <c r="D218" s="92" t="s">
        <v>10353</v>
      </c>
      <c r="E218" s="93" t="s">
        <v>10353</v>
      </c>
      <c r="F218" s="3" t="s">
        <v>9642</v>
      </c>
      <c r="G218" s="94" t="s">
        <v>9719</v>
      </c>
      <c r="H218" s="3" t="s">
        <v>9780</v>
      </c>
      <c r="I218"/>
      <c r="J218" t="s">
        <v>10431</v>
      </c>
      <c r="K218" s="3" t="s">
        <v>9780</v>
      </c>
      <c r="L218" s="3" t="s">
        <v>9780</v>
      </c>
      <c r="M218" s="3" t="s">
        <v>9780</v>
      </c>
      <c r="N218" s="94" t="str">
        <f t="shared" si="7"/>
        <v>Não</v>
      </c>
      <c r="O218" s="3" t="s">
        <v>9780</v>
      </c>
      <c r="P218" s="3" t="s">
        <v>9780</v>
      </c>
    </row>
    <row r="219" spans="1:16" ht="17.25" customHeight="1" x14ac:dyDescent="0.35">
      <c r="A219" s="118"/>
      <c r="B219" s="3" t="s">
        <v>10340</v>
      </c>
      <c r="C219" s="3" t="s">
        <v>10565</v>
      </c>
      <c r="D219" s="92" t="s">
        <v>10354</v>
      </c>
      <c r="E219" s="93" t="s">
        <v>10354</v>
      </c>
      <c r="F219" s="3" t="s">
        <v>9642</v>
      </c>
      <c r="G219" s="94" t="s">
        <v>9719</v>
      </c>
      <c r="H219" s="3" t="s">
        <v>9780</v>
      </c>
      <c r="I219"/>
      <c r="J219" t="s">
        <v>10432</v>
      </c>
      <c r="K219" s="3" t="s">
        <v>9780</v>
      </c>
      <c r="L219" s="3" t="s">
        <v>9780</v>
      </c>
      <c r="M219" s="3" t="s">
        <v>9780</v>
      </c>
      <c r="N219" s="94" t="str">
        <f t="shared" si="7"/>
        <v>Não</v>
      </c>
      <c r="O219" s="3" t="s">
        <v>9780</v>
      </c>
      <c r="P219" s="3" t="s">
        <v>9780</v>
      </c>
    </row>
    <row r="220" spans="1:16" ht="17.25" customHeight="1" x14ac:dyDescent="0.35">
      <c r="A220" s="118"/>
      <c r="B220" s="3" t="s">
        <v>10340</v>
      </c>
      <c r="C220" s="3" t="s">
        <v>10565</v>
      </c>
      <c r="D220" s="92" t="s">
        <v>10355</v>
      </c>
      <c r="E220" s="93" t="s">
        <v>10355</v>
      </c>
      <c r="F220" s="3" t="s">
        <v>9642</v>
      </c>
      <c r="G220" s="94" t="s">
        <v>9719</v>
      </c>
      <c r="H220" s="3" t="s">
        <v>9780</v>
      </c>
      <c r="I220"/>
      <c r="J220" t="s">
        <v>10433</v>
      </c>
      <c r="K220" s="3" t="s">
        <v>9780</v>
      </c>
      <c r="L220" s="3" t="s">
        <v>9780</v>
      </c>
      <c r="M220" s="3" t="s">
        <v>9780</v>
      </c>
      <c r="N220" s="94" t="str">
        <f t="shared" si="7"/>
        <v>Não</v>
      </c>
      <c r="O220" s="3" t="s">
        <v>9780</v>
      </c>
      <c r="P220" s="3" t="s">
        <v>9780</v>
      </c>
    </row>
    <row r="221" spans="1:16" ht="17.25" customHeight="1" x14ac:dyDescent="0.35">
      <c r="A221" s="118"/>
      <c r="B221" s="3" t="s">
        <v>10340</v>
      </c>
      <c r="C221" s="3" t="s">
        <v>10565</v>
      </c>
      <c r="D221" s="100" t="s">
        <v>10437</v>
      </c>
      <c r="E221" s="1" t="s">
        <v>10437</v>
      </c>
      <c r="F221" s="3" t="s">
        <v>9642</v>
      </c>
      <c r="G221" s="94" t="s">
        <v>9719</v>
      </c>
      <c r="H221" s="3" t="s">
        <v>9780</v>
      </c>
      <c r="J221" t="s">
        <v>10435</v>
      </c>
      <c r="K221" s="3" t="s">
        <v>9780</v>
      </c>
      <c r="L221" s="3" t="s">
        <v>9780</v>
      </c>
      <c r="M221" s="3" t="s">
        <v>9780</v>
      </c>
      <c r="N221" s="94" t="str">
        <f t="shared" ref="N221:N222" si="8">IF(F221="String",IF(I221&lt;&gt;"","Sim","Não"),IF(F221="List",IF(I221&lt;&gt;"","Sim","Não"),IF(AND(I221&gt;=O221,I221&lt;=P221,I221&lt;&gt;""),"Sim","Não")))</f>
        <v>Não</v>
      </c>
      <c r="O221" s="3" t="s">
        <v>9780</v>
      </c>
      <c r="P221" s="3" t="s">
        <v>9780</v>
      </c>
    </row>
    <row r="222" spans="1:16" ht="17.25" customHeight="1" x14ac:dyDescent="0.35">
      <c r="A222" s="118"/>
      <c r="B222" s="3" t="s">
        <v>10340</v>
      </c>
      <c r="C222" s="3" t="s">
        <v>10565</v>
      </c>
      <c r="D222" s="100" t="s">
        <v>10438</v>
      </c>
      <c r="E222" s="1" t="s">
        <v>10438</v>
      </c>
      <c r="F222" s="3" t="s">
        <v>9642</v>
      </c>
      <c r="G222" s="94" t="s">
        <v>9719</v>
      </c>
      <c r="H222" s="3" t="s">
        <v>9780</v>
      </c>
      <c r="J222" t="s">
        <v>10436</v>
      </c>
      <c r="K222" s="3" t="s">
        <v>9780</v>
      </c>
      <c r="L222" s="3" t="s">
        <v>9780</v>
      </c>
      <c r="M222" s="3" t="s">
        <v>9780</v>
      </c>
      <c r="N222" s="94" t="str">
        <f t="shared" si="8"/>
        <v>Não</v>
      </c>
      <c r="O222" s="3" t="s">
        <v>9780</v>
      </c>
      <c r="P222" s="3" t="s">
        <v>9780</v>
      </c>
    </row>
    <row r="223" spans="1:16" ht="17.25" customHeight="1" x14ac:dyDescent="0.35">
      <c r="A223" s="117" t="s">
        <v>10549</v>
      </c>
      <c r="B223" s="91" t="s">
        <v>10548</v>
      </c>
      <c r="C223" s="91" t="s">
        <v>10550</v>
      </c>
      <c r="D223" s="96" t="s">
        <v>10551</v>
      </c>
      <c r="E223" s="97" t="s">
        <v>10564</v>
      </c>
      <c r="F223" s="94" t="s">
        <v>9642</v>
      </c>
      <c r="G223" s="94" t="s">
        <v>9719</v>
      </c>
      <c r="H223" s="15" t="s">
        <v>9780</v>
      </c>
      <c r="I223" s="99"/>
      <c r="J223" s="99" t="s">
        <v>9780</v>
      </c>
      <c r="K223" s="27" t="s">
        <v>9780</v>
      </c>
      <c r="L223" s="15" t="s">
        <v>9780</v>
      </c>
      <c r="M223" s="15" t="s">
        <v>9780</v>
      </c>
      <c r="N223" s="94" t="str">
        <f t="shared" ref="N223:N229" si="9">IF(F223="String",IF(I223&lt;&gt;"","Sim","Não"),IF(F223="List",IF(I223&lt;&gt;"","Sim","Não"),IF(AND(I223&gt;=O223,I223&lt;=P223,I223&lt;&gt;""),"Sim","Não")))</f>
        <v>Não</v>
      </c>
      <c r="O223" s="15" t="s">
        <v>9780</v>
      </c>
      <c r="P223" s="15" t="s">
        <v>9780</v>
      </c>
    </row>
    <row r="224" spans="1:16" ht="17.25" customHeight="1" x14ac:dyDescent="0.35">
      <c r="A224" s="117"/>
      <c r="B224" s="91" t="s">
        <v>10548</v>
      </c>
      <c r="C224" s="91" t="s">
        <v>10550</v>
      </c>
      <c r="D224" s="96" t="s">
        <v>10552</v>
      </c>
      <c r="E224" s="97" t="s">
        <v>10563</v>
      </c>
      <c r="F224" s="94" t="s">
        <v>9642</v>
      </c>
      <c r="G224" s="94" t="s">
        <v>9719</v>
      </c>
      <c r="H224" s="15" t="s">
        <v>9780</v>
      </c>
      <c r="I224" s="99"/>
      <c r="J224" s="99" t="s">
        <v>9780</v>
      </c>
      <c r="K224" s="27" t="s">
        <v>9780</v>
      </c>
      <c r="L224" s="15" t="s">
        <v>9780</v>
      </c>
      <c r="M224" s="15" t="s">
        <v>9780</v>
      </c>
      <c r="N224" s="94" t="str">
        <f t="shared" si="9"/>
        <v>Não</v>
      </c>
      <c r="O224" s="15" t="s">
        <v>9780</v>
      </c>
      <c r="P224" s="15" t="s">
        <v>9780</v>
      </c>
    </row>
    <row r="225" spans="1:16" ht="17.25" customHeight="1" x14ac:dyDescent="0.35">
      <c r="A225" s="117"/>
      <c r="B225" s="91" t="s">
        <v>10548</v>
      </c>
      <c r="C225" s="91" t="s">
        <v>10550</v>
      </c>
      <c r="D225" s="96" t="s">
        <v>10553</v>
      </c>
      <c r="E225" s="97" t="s">
        <v>10562</v>
      </c>
      <c r="F225" s="94" t="s">
        <v>9642</v>
      </c>
      <c r="G225" s="94" t="s">
        <v>9719</v>
      </c>
      <c r="H225" s="15" t="s">
        <v>9780</v>
      </c>
      <c r="I225" s="99"/>
      <c r="J225" s="99" t="s">
        <v>9780</v>
      </c>
      <c r="K225" s="27" t="s">
        <v>9780</v>
      </c>
      <c r="L225" s="15" t="s">
        <v>9780</v>
      </c>
      <c r="M225" s="15" t="s">
        <v>9780</v>
      </c>
      <c r="N225" s="94" t="str">
        <f t="shared" si="9"/>
        <v>Não</v>
      </c>
      <c r="O225" s="15" t="s">
        <v>9780</v>
      </c>
      <c r="P225" s="15" t="s">
        <v>9780</v>
      </c>
    </row>
    <row r="226" spans="1:16" ht="17.25" customHeight="1" x14ac:dyDescent="0.35">
      <c r="A226" s="117"/>
      <c r="B226" s="91" t="s">
        <v>10548</v>
      </c>
      <c r="C226" s="91" t="s">
        <v>10550</v>
      </c>
      <c r="D226" s="96" t="s">
        <v>10554</v>
      </c>
      <c r="E226" s="97" t="s">
        <v>10561</v>
      </c>
      <c r="F226" s="94" t="s">
        <v>9642</v>
      </c>
      <c r="G226" s="94" t="s">
        <v>9719</v>
      </c>
      <c r="H226" s="15" t="s">
        <v>9780</v>
      </c>
      <c r="I226" s="99"/>
      <c r="J226" s="99" t="s">
        <v>9780</v>
      </c>
      <c r="K226" s="27" t="s">
        <v>9780</v>
      </c>
      <c r="L226" s="15" t="s">
        <v>9780</v>
      </c>
      <c r="M226" s="15" t="s">
        <v>9780</v>
      </c>
      <c r="N226" s="94" t="str">
        <f t="shared" si="9"/>
        <v>Não</v>
      </c>
      <c r="O226" s="15" t="s">
        <v>9780</v>
      </c>
      <c r="P226" s="15" t="s">
        <v>9780</v>
      </c>
    </row>
    <row r="227" spans="1:16" ht="17.25" customHeight="1" x14ac:dyDescent="0.35">
      <c r="A227" s="117"/>
      <c r="B227" s="91" t="s">
        <v>10548</v>
      </c>
      <c r="C227" s="91" t="s">
        <v>10550</v>
      </c>
      <c r="D227" s="96" t="s">
        <v>10555</v>
      </c>
      <c r="E227" s="97" t="s">
        <v>10560</v>
      </c>
      <c r="F227" s="94" t="s">
        <v>9642</v>
      </c>
      <c r="G227" s="94" t="s">
        <v>9719</v>
      </c>
      <c r="H227" s="15" t="s">
        <v>9780</v>
      </c>
      <c r="I227" s="99"/>
      <c r="J227" s="99" t="s">
        <v>9780</v>
      </c>
      <c r="K227" s="27" t="s">
        <v>9780</v>
      </c>
      <c r="L227" s="15" t="s">
        <v>9780</v>
      </c>
      <c r="M227" s="15" t="s">
        <v>9780</v>
      </c>
      <c r="N227" s="94" t="str">
        <f t="shared" si="9"/>
        <v>Não</v>
      </c>
      <c r="O227" s="15" t="s">
        <v>9780</v>
      </c>
      <c r="P227" s="15" t="s">
        <v>9780</v>
      </c>
    </row>
    <row r="228" spans="1:16" ht="17.25" customHeight="1" x14ac:dyDescent="0.35">
      <c r="A228" s="117"/>
      <c r="B228" s="91" t="s">
        <v>10548</v>
      </c>
      <c r="C228" s="91" t="s">
        <v>10550</v>
      </c>
      <c r="D228" s="96" t="s">
        <v>10556</v>
      </c>
      <c r="E228" s="97" t="s">
        <v>10559</v>
      </c>
      <c r="F228" s="94" t="s">
        <v>9642</v>
      </c>
      <c r="G228" s="94" t="s">
        <v>9719</v>
      </c>
      <c r="H228" s="15" t="s">
        <v>9780</v>
      </c>
      <c r="I228" s="99"/>
      <c r="J228" s="99" t="s">
        <v>9780</v>
      </c>
      <c r="K228" s="27" t="s">
        <v>9780</v>
      </c>
      <c r="L228" s="15" t="s">
        <v>9780</v>
      </c>
      <c r="M228" s="15" t="s">
        <v>9780</v>
      </c>
      <c r="N228" s="94" t="str">
        <f t="shared" si="9"/>
        <v>Não</v>
      </c>
      <c r="O228" s="15" t="s">
        <v>9780</v>
      </c>
      <c r="P228" s="15" t="s">
        <v>9780</v>
      </c>
    </row>
    <row r="229" spans="1:16" ht="17.25" customHeight="1" x14ac:dyDescent="0.35">
      <c r="A229" s="117"/>
      <c r="B229" s="91" t="s">
        <v>10548</v>
      </c>
      <c r="C229" s="91" t="s">
        <v>10550</v>
      </c>
      <c r="D229" s="96" t="s">
        <v>10557</v>
      </c>
      <c r="E229" s="97" t="s">
        <v>10558</v>
      </c>
      <c r="F229" s="94" t="s">
        <v>9642</v>
      </c>
      <c r="G229" s="94" t="s">
        <v>9719</v>
      </c>
      <c r="H229" s="15" t="s">
        <v>9780</v>
      </c>
      <c r="I229" s="99"/>
      <c r="J229" s="99" t="s">
        <v>9780</v>
      </c>
      <c r="K229" s="27" t="s">
        <v>9780</v>
      </c>
      <c r="L229" s="15" t="s">
        <v>9780</v>
      </c>
      <c r="M229" s="15" t="s">
        <v>9780</v>
      </c>
      <c r="N229" s="94" t="str">
        <f t="shared" si="9"/>
        <v>Não</v>
      </c>
      <c r="O229" s="15" t="s">
        <v>9780</v>
      </c>
      <c r="P229" s="15" t="s">
        <v>9780</v>
      </c>
    </row>
  </sheetData>
  <dataConsolidate link="1"/>
  <mergeCells count="19">
    <mergeCell ref="A37:A40"/>
    <mergeCell ref="A4:A7"/>
    <mergeCell ref="A2:A3"/>
    <mergeCell ref="A23:A30"/>
    <mergeCell ref="A31:A36"/>
    <mergeCell ref="A8:A22"/>
    <mergeCell ref="A223:A229"/>
    <mergeCell ref="A41:A42"/>
    <mergeCell ref="A43:A65"/>
    <mergeCell ref="A66:A82"/>
    <mergeCell ref="A83:A86"/>
    <mergeCell ref="A206:A222"/>
    <mergeCell ref="A87:A95"/>
    <mergeCell ref="A131:A141"/>
    <mergeCell ref="A143:A163"/>
    <mergeCell ref="A195:A204"/>
    <mergeCell ref="A96:A130"/>
    <mergeCell ref="A164:A184"/>
    <mergeCell ref="A185:A194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35"/>
  <cols>
    <col min="1" max="2" width="23.7109375" style="3" customWidth="1"/>
    <col min="3" max="3" width="14.28515625" style="3" customWidth="1"/>
    <col min="4" max="4" width="17.5703125" style="3" customWidth="1"/>
    <col min="5" max="5" width="13.140625" style="3" customWidth="1"/>
    <col min="6" max="6" width="18.28515625" style="3" customWidth="1"/>
    <col min="7" max="7" width="21.28515625" style="3" customWidth="1"/>
    <col min="8" max="8" width="31.28515625" style="3" customWidth="1"/>
    <col min="9" max="9" width="29.7109375" style="3" customWidth="1"/>
    <col min="10" max="12" width="22.5703125" style="3" customWidth="1"/>
    <col min="13" max="16384" width="11" style="1"/>
  </cols>
  <sheetData>
    <row r="1" spans="1:15" ht="51.75" customHeight="1" x14ac:dyDescent="0.35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9696</v>
      </c>
    </row>
    <row r="2" spans="1:15" ht="17.25" customHeight="1" x14ac:dyDescent="0.35">
      <c r="A2" s="10" t="s">
        <v>7160</v>
      </c>
      <c r="B2" s="3">
        <v>4101200</v>
      </c>
      <c r="C2" s="3">
        <f>IFERROR(VLOOKUP(B2,Municípios!$D$1:$H$5571,4,FALSE),"")</f>
        <v>-25.438600000000001</v>
      </c>
      <c r="D2" s="3">
        <f>IFERROR(VLOOKUP(B2,Municípios!$D$1:$H$5571,5,FALSE),"")</f>
        <v>-48.719099999999997</v>
      </c>
      <c r="E2" s="5">
        <f>IFERROR(VLOOKUP(B2,Municípios!$D$1:$H$5571,3,FALSE),"")</f>
        <v>18919</v>
      </c>
      <c r="F2" s="7">
        <f>IFERROR(E2*'Banco de Dados'!$I$4*365/313/1000,"")</f>
        <v>19.855883386581475</v>
      </c>
      <c r="G2" s="3">
        <v>350</v>
      </c>
      <c r="H2" s="3">
        <v>20</v>
      </c>
      <c r="I2" s="3">
        <v>0.75</v>
      </c>
      <c r="J2" s="3" t="s">
        <v>9720</v>
      </c>
      <c r="K2" s="3" t="s">
        <v>9719</v>
      </c>
      <c r="L2" s="3" t="s">
        <v>9720</v>
      </c>
    </row>
    <row r="3" spans="1:15" ht="17.25" customHeight="1" x14ac:dyDescent="0.35">
      <c r="A3" s="10" t="s">
        <v>7297</v>
      </c>
      <c r="B3" s="3">
        <v>4109609</v>
      </c>
      <c r="C3" s="3">
        <f>IFERROR(VLOOKUP(B3,Municípios!$D$1:$H$5571,4,FALSE),"")</f>
        <v>-25.881699999999999</v>
      </c>
      <c r="D3" s="3">
        <f>IFERROR(VLOOKUP(B3,Municípios!$D$1:$H$5571,5,FALSE),"")</f>
        <v>-48.575200000000002</v>
      </c>
      <c r="E3" s="5">
        <f>IFERROR(VLOOKUP(B3,Municípios!$D$1:$H$5571,3,FALSE),"")</f>
        <v>37974</v>
      </c>
      <c r="F3" s="7">
        <f>IFERROR(E3*'Banco de Dados'!$I$4*365/313/1000,"")</f>
        <v>39.854501597444091</v>
      </c>
      <c r="G3" s="3">
        <v>350</v>
      </c>
      <c r="H3" s="3">
        <v>20</v>
      </c>
      <c r="I3" s="3">
        <v>0.75</v>
      </c>
      <c r="J3" s="3" t="s">
        <v>9720</v>
      </c>
      <c r="K3" s="3" t="s">
        <v>9720</v>
      </c>
      <c r="L3" s="3" t="s">
        <v>9719</v>
      </c>
    </row>
    <row r="4" spans="1:15" ht="17.25" customHeight="1" x14ac:dyDescent="0.35">
      <c r="A4" s="10" t="s">
        <v>7418</v>
      </c>
      <c r="B4" s="3">
        <v>4116208</v>
      </c>
      <c r="C4" s="3">
        <f>IFERROR(VLOOKUP(B4,Municípios!$D$1:$H$5571,4,FALSE),"")</f>
        <v>-25.474399999999999</v>
      </c>
      <c r="D4" s="3">
        <f>IFERROR(VLOOKUP(B4,Municípios!$D$1:$H$5571,5,FALSE),"")</f>
        <v>-48.834499999999998</v>
      </c>
      <c r="E4" s="5">
        <f>IFERROR(VLOOKUP(B4,Municípios!$D$1:$H$5571,3,FALSE),"")</f>
        <v>16485</v>
      </c>
      <c r="F4" s="7">
        <f>IFERROR(E4*'Banco de Dados'!$I$4*365/313/1000,"")</f>
        <v>17.301349840255593</v>
      </c>
      <c r="G4" s="3">
        <v>350</v>
      </c>
      <c r="H4" s="3">
        <v>20</v>
      </c>
      <c r="I4" s="3">
        <v>0.75</v>
      </c>
      <c r="J4" s="3" t="s">
        <v>9720</v>
      </c>
      <c r="K4" s="3" t="s">
        <v>9719</v>
      </c>
      <c r="L4" s="3" t="s">
        <v>9719</v>
      </c>
      <c r="O4" s="4"/>
    </row>
    <row r="5" spans="1:15" ht="17.25" customHeight="1" x14ac:dyDescent="0.35">
      <c r="A5" s="10"/>
      <c r="C5" s="3" t="str">
        <f>IFERROR(VLOOKUP(B5,Municípios!$D$1:$H$5571,4,FALSE),"")</f>
        <v/>
      </c>
      <c r="D5" s="3" t="str">
        <f>IFERROR(VLOOKUP(B5,Municípios!$D$1:$H$5571,5,FALSE),"")</f>
        <v/>
      </c>
      <c r="E5" s="5" t="str">
        <f>IFERROR(VLOOKUP(B5,Municípios!$D$1:$H$5571,3,FALSE),"")</f>
        <v/>
      </c>
      <c r="F5" s="7" t="str">
        <f>IFERROR(E5*'Banco de Dados'!$I$4*365/313/1000,"")</f>
        <v/>
      </c>
    </row>
    <row r="6" spans="1:15" ht="17.25" customHeight="1" x14ac:dyDescent="0.35">
      <c r="A6" s="10"/>
      <c r="C6" s="3" t="str">
        <f>IFERROR(VLOOKUP(B6,Municípios!$D$1:$H$5571,4,FALSE),"")</f>
        <v/>
      </c>
      <c r="D6" s="3" t="str">
        <f>IFERROR(VLOOKUP(B6,Municípios!$D$1:$H$5571,5,FALSE),"")</f>
        <v/>
      </c>
      <c r="E6" s="5" t="str">
        <f>IFERROR(VLOOKUP(B6,Municípios!$D$1:$H$5571,3,FALSE),"")</f>
        <v/>
      </c>
      <c r="F6" s="7" t="str">
        <f>IFERROR(E6*'Banco de Dados'!$I$4*365/313/1000,"")</f>
        <v/>
      </c>
    </row>
    <row r="7" spans="1:15" ht="17.25" customHeight="1" x14ac:dyDescent="0.35">
      <c r="A7" s="10"/>
      <c r="C7" s="3" t="str">
        <f>IFERROR(VLOOKUP(B7,Municípios!$D$1:$H$5571,4,FALSE),"")</f>
        <v/>
      </c>
      <c r="D7" s="3" t="str">
        <f>IFERROR(VLOOKUP(B7,Municípios!$D$1:$H$5571,5,FALSE),"")</f>
        <v/>
      </c>
      <c r="E7" s="5" t="str">
        <f>IFERROR(VLOOKUP(B7,Municípios!$D$1:$H$5571,3,FALSE),"")</f>
        <v/>
      </c>
      <c r="F7" s="7" t="str">
        <f>IFERROR(E7*'Banco de Dados'!$I$4*365/313/1000,"")</f>
        <v/>
      </c>
    </row>
    <row r="8" spans="1:15" ht="17.25" customHeight="1" x14ac:dyDescent="0.35">
      <c r="A8" s="10"/>
      <c r="C8" s="3" t="str">
        <f>IFERROR(VLOOKUP(B8,Municípios!$D$1:$H$5571,4,FALSE),"")</f>
        <v/>
      </c>
      <c r="D8" s="3" t="str">
        <f>IFERROR(VLOOKUP(B8,Municípios!$D$1:$H$5571,5,FALSE),"")</f>
        <v/>
      </c>
      <c r="E8" s="5" t="str">
        <f>IFERROR(VLOOKUP(B8,Municípios!$D$1:$H$5571,3,FALSE),"")</f>
        <v/>
      </c>
      <c r="F8" s="7" t="str">
        <f>IFERROR(E8*'Banco de Dados'!$I$4*365/313/1000,"")</f>
        <v/>
      </c>
    </row>
    <row r="9" spans="1:15" ht="17.25" customHeight="1" x14ac:dyDescent="0.35">
      <c r="A9" s="10"/>
      <c r="C9" s="3" t="str">
        <f>IFERROR(VLOOKUP(B9,Municípios!$D$1:$H$5571,4,FALSE),"")</f>
        <v/>
      </c>
      <c r="D9" s="3" t="str">
        <f>IFERROR(VLOOKUP(B9,Municípios!$D$1:$H$5571,5,FALSE),"")</f>
        <v/>
      </c>
      <c r="E9" s="5" t="str">
        <f>IFERROR(VLOOKUP(B9,Municípios!$D$1:$H$5571,3,FALSE),"")</f>
        <v/>
      </c>
      <c r="F9" s="7" t="str">
        <f>IFERROR(E9*'Banco de Dados'!$I$4*365/313/1000,"")</f>
        <v/>
      </c>
    </row>
    <row r="10" spans="1:15" ht="17.25" customHeight="1" x14ac:dyDescent="0.35">
      <c r="A10" s="10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5" t="str">
        <f>IFERROR(VLOOKUP(B10,Municípios!$D$1:$H$5571,3,FALSE),"")</f>
        <v/>
      </c>
      <c r="F10" s="7" t="str">
        <f>IFERROR(E10*'Banco de Dados'!$I$4*365/313/1000,"")</f>
        <v/>
      </c>
    </row>
    <row r="11" spans="1:15" ht="17.25" customHeight="1" x14ac:dyDescent="0.35">
      <c r="A11" s="10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5" t="str">
        <f>IFERROR(VLOOKUP(B11,Municípios!$D$1:$H$5571,3,FALSE),"")</f>
        <v/>
      </c>
      <c r="F11" s="7" t="str">
        <f>IFERROR(E11*'Banco de Dados'!$I$4*365/313/1000,"")</f>
        <v/>
      </c>
    </row>
    <row r="12" spans="1:15" ht="17.25" customHeight="1" x14ac:dyDescent="0.35">
      <c r="A12" s="10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5" t="str">
        <f>IFERROR(VLOOKUP(B12,Municípios!$D$1:$H$5571,3,FALSE),"")</f>
        <v/>
      </c>
      <c r="F12" s="7" t="str">
        <f>IFERROR(E12*'Banco de Dados'!$I$4*365/313/1000,"")</f>
        <v/>
      </c>
    </row>
    <row r="13" spans="1:15" ht="17.25" customHeight="1" x14ac:dyDescent="0.35">
      <c r="A13" s="10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5" t="str">
        <f>IFERROR(VLOOKUP(B13,Municípios!$D$1:$H$5571,3,FALSE),"")</f>
        <v/>
      </c>
      <c r="F13" s="7" t="str">
        <f>IFERROR(E13*'Banco de Dados'!$I$4*365/313/1000,"")</f>
        <v/>
      </c>
    </row>
    <row r="14" spans="1:15" ht="17.25" customHeight="1" x14ac:dyDescent="0.35">
      <c r="A14" s="10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5" t="str">
        <f>IFERROR(VLOOKUP(B14,Municípios!$D$1:$H$5571,3,FALSE),"")</f>
        <v/>
      </c>
      <c r="F14" s="7" t="str">
        <f>IFERROR(E14*'Banco de Dados'!$I$4*365/313/1000,"")</f>
        <v/>
      </c>
    </row>
    <row r="15" spans="1:15" ht="17.25" customHeight="1" x14ac:dyDescent="0.35">
      <c r="A15" s="10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5" t="str">
        <f>IFERROR(VLOOKUP(B15,Municípios!$D$1:$H$5571,3,FALSE),"")</f>
        <v/>
      </c>
      <c r="F15" s="7" t="str">
        <f>IFERROR(E15*'Banco de Dados'!$I$4*365/313/1000,"")</f>
        <v/>
      </c>
    </row>
    <row r="16" spans="1:15" ht="17.25" customHeight="1" x14ac:dyDescent="0.35">
      <c r="A16" s="10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5" t="str">
        <f>IFERROR(VLOOKUP(B16,Municípios!$D$1:$H$5571,3,FALSE),"")</f>
        <v/>
      </c>
      <c r="F16" s="7" t="str">
        <f>IFERROR(E16*'Banco de Dados'!$I$4*365/313/1000,"")</f>
        <v/>
      </c>
    </row>
    <row r="17" spans="1:6" ht="17.25" customHeight="1" x14ac:dyDescent="0.35">
      <c r="A17" s="10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5" t="str">
        <f>IFERROR(VLOOKUP(B17,Municípios!$D$1:$H$5571,3,FALSE),"")</f>
        <v/>
      </c>
      <c r="F17" s="7" t="str">
        <f>IFERROR(E17*'Banco de Dados'!$I$4*365/313/1000,"")</f>
        <v/>
      </c>
    </row>
    <row r="18" spans="1:6" ht="17.25" customHeight="1" x14ac:dyDescent="0.35">
      <c r="A18" s="10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5" t="str">
        <f>IFERROR(VLOOKUP(B18,Municípios!$D$1:$H$5571,3,FALSE),"")</f>
        <v/>
      </c>
      <c r="F18" s="7" t="str">
        <f>IFERROR(E18*'Banco de Dados'!$I$4*365/313/1000,"")</f>
        <v/>
      </c>
    </row>
    <row r="19" spans="1:6" ht="17.25" customHeight="1" x14ac:dyDescent="0.35">
      <c r="A19" s="10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5" t="str">
        <f>IFERROR(VLOOKUP(B19,Municípios!$D$1:$H$5571,3,FALSE),"")</f>
        <v/>
      </c>
      <c r="F19" s="7" t="str">
        <f>IFERROR(E19*'Banco de Dados'!$I$4*365/313/1000,"")</f>
        <v/>
      </c>
    </row>
    <row r="20" spans="1:6" ht="17.25" customHeight="1" x14ac:dyDescent="0.35">
      <c r="A20" s="10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5" t="str">
        <f>IFERROR(VLOOKUP(B20,Municípios!$D$1:$H$5571,3,FALSE),"")</f>
        <v/>
      </c>
      <c r="F20" s="7" t="str">
        <f>IFERROR(E20*'Banco de Dados'!$I$4*365/313/1000,"")</f>
        <v/>
      </c>
    </row>
    <row r="21" spans="1:6" ht="17.25" customHeight="1" x14ac:dyDescent="0.35">
      <c r="A21" s="10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5" t="str">
        <f>IFERROR(VLOOKUP(B21,Municípios!$D$1:$H$5571,3,FALSE),"")</f>
        <v/>
      </c>
      <c r="F21" s="7" t="str">
        <f>IFERROR(E21*'Banco de Dados'!$I$4*365/313/1000,"")</f>
        <v/>
      </c>
    </row>
    <row r="22" spans="1:6" ht="17.25" customHeight="1" x14ac:dyDescent="0.35">
      <c r="A22" s="10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5" t="str">
        <f>IFERROR(VLOOKUP(B22,Municípios!$D$1:$H$5571,3,FALSE),"")</f>
        <v/>
      </c>
      <c r="F22" s="7" t="str">
        <f>IFERROR(E22*'Banco de Dados'!$I$4*365/313/1000,"")</f>
        <v/>
      </c>
    </row>
    <row r="23" spans="1:6" ht="17.25" customHeight="1" x14ac:dyDescent="0.35">
      <c r="A23" s="10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5" t="str">
        <f>IFERROR(VLOOKUP(B23,Municípios!$D$1:$H$5571,3,FALSE),"")</f>
        <v/>
      </c>
      <c r="F23" s="7" t="str">
        <f>IFERROR(E23*'Banco de Dados'!$I$4*365/313/1000,"")</f>
        <v/>
      </c>
    </row>
    <row r="24" spans="1:6" ht="17.25" customHeight="1" x14ac:dyDescent="0.35">
      <c r="A24" s="10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5" t="str">
        <f>IFERROR(VLOOKUP(B24,Municípios!$D$1:$H$5571,3,FALSE),"")</f>
        <v/>
      </c>
      <c r="F24" s="7" t="str">
        <f>IFERROR(E24*'Banco de Dados'!$I$4*365/313/1000,"")</f>
        <v/>
      </c>
    </row>
    <row r="25" spans="1:6" ht="17.25" customHeight="1" x14ac:dyDescent="0.35">
      <c r="A25" s="10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5" t="str">
        <f>IFERROR(VLOOKUP(B25,Municípios!$D$1:$H$5571,3,FALSE),"")</f>
        <v/>
      </c>
      <c r="F25" s="7" t="str">
        <f>IFERROR(E25*'Banco de Dados'!$I$4*365/313/1000,"")</f>
        <v/>
      </c>
    </row>
    <row r="26" spans="1:6" ht="17.25" customHeight="1" x14ac:dyDescent="0.35">
      <c r="A26" s="10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5" t="str">
        <f>IFERROR(VLOOKUP(B26,Municípios!$D$1:$H$5571,3,FALSE),"")</f>
        <v/>
      </c>
      <c r="F26" s="7" t="str">
        <f>IFERROR(E26*'Banco de Dados'!$I$4*365/313/1000,"")</f>
        <v/>
      </c>
    </row>
    <row r="27" spans="1:6" ht="17.25" customHeight="1" x14ac:dyDescent="0.35">
      <c r="A27" s="10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5" t="str">
        <f>IFERROR(VLOOKUP(B27,Municípios!$D$1:$H$5571,3,FALSE),"")</f>
        <v/>
      </c>
      <c r="F27" s="7" t="str">
        <f>IFERROR(E27*'Banco de Dados'!$I$4*365/313/1000,"")</f>
        <v/>
      </c>
    </row>
    <row r="28" spans="1:6" ht="17.25" customHeight="1" x14ac:dyDescent="0.35">
      <c r="A28" s="10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5" t="str">
        <f>IFERROR(VLOOKUP(B28,Municípios!$D$1:$H$5571,3,FALSE),"")</f>
        <v/>
      </c>
      <c r="F28" s="7" t="str">
        <f>IFERROR(E28*'Banco de Dados'!$I$4*365/313/1000,"")</f>
        <v/>
      </c>
    </row>
    <row r="29" spans="1:6" ht="17.25" customHeight="1" x14ac:dyDescent="0.35">
      <c r="A29" s="10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5" t="str">
        <f>IFERROR(VLOOKUP(B29,Municípios!$D$1:$H$5571,3,FALSE),"")</f>
        <v/>
      </c>
      <c r="F29" s="7" t="str">
        <f>IFERROR(E29*'Banco de Dados'!$I$4*365/313/1000,"")</f>
        <v/>
      </c>
    </row>
    <row r="30" spans="1:6" ht="17.25" customHeight="1" x14ac:dyDescent="0.35">
      <c r="A30" s="10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5" t="str">
        <f>IFERROR(VLOOKUP(B30,Municípios!$D$1:$H$5571,3,FALSE),"")</f>
        <v/>
      </c>
      <c r="F30" s="7" t="str">
        <f>IFERROR(E30*'Banco de Dados'!$I$4*365/313/1000,"")</f>
        <v/>
      </c>
    </row>
    <row r="31" spans="1:6" ht="17.25" customHeight="1" x14ac:dyDescent="0.35">
      <c r="A31" s="10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5" t="str">
        <f>IFERROR(VLOOKUP(B31,Municípios!$D$1:$H$5571,3,FALSE),"")</f>
        <v/>
      </c>
      <c r="F31" s="7" t="str">
        <f>IFERROR(E31*'Banco de Dados'!$I$4*365/313/1000,"")</f>
        <v/>
      </c>
    </row>
    <row r="32" spans="1:6" ht="17.25" customHeight="1" x14ac:dyDescent="0.35">
      <c r="A32" s="10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5" t="str">
        <f>IFERROR(VLOOKUP(B32,Municípios!$D$1:$H$5571,3,FALSE),"")</f>
        <v/>
      </c>
      <c r="F32" s="7" t="str">
        <f>IFERROR(E32*'Banco de Dados'!$I$4*365/313/1000,"")</f>
        <v/>
      </c>
    </row>
    <row r="33" spans="1:6" ht="17.25" customHeight="1" x14ac:dyDescent="0.35">
      <c r="A33" s="10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5" t="str">
        <f>IFERROR(VLOOKUP(B33,Municípios!$D$1:$H$5571,3,FALSE),"")</f>
        <v/>
      </c>
      <c r="F33" s="7" t="str">
        <f>IFERROR(E33*'Banco de Dados'!$I$4*365/313/1000,"")</f>
        <v/>
      </c>
    </row>
    <row r="34" spans="1:6" ht="17.25" customHeight="1" x14ac:dyDescent="0.35">
      <c r="A34" s="10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5" t="str">
        <f>IFERROR(VLOOKUP(B34,Municípios!$D$1:$H$5571,3,FALSE),"")</f>
        <v/>
      </c>
      <c r="F34" s="7" t="str">
        <f>IFERROR(E34*'Banco de Dados'!$I$4*365/313/1000,"")</f>
        <v/>
      </c>
    </row>
    <row r="35" spans="1:6" ht="17.25" customHeight="1" x14ac:dyDescent="0.35">
      <c r="A35" s="10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5" t="str">
        <f>IFERROR(VLOOKUP(B35,Municípios!$D$1:$H$5571,3,FALSE),"")</f>
        <v/>
      </c>
      <c r="F35" s="7" t="str">
        <f>IFERROR(E35*'Banco de Dados'!$I$4*365/313/1000,"")</f>
        <v/>
      </c>
    </row>
    <row r="36" spans="1:6" ht="17.25" customHeight="1" x14ac:dyDescent="0.35">
      <c r="A36" s="10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5" t="str">
        <f>IFERROR(VLOOKUP(B36,Municípios!$D$1:$H$5571,3,FALSE),"")</f>
        <v/>
      </c>
      <c r="F36" s="7" t="str">
        <f>IFERROR(E36*'Banco de Dados'!$I$4*365/313/1000,"")</f>
        <v/>
      </c>
    </row>
    <row r="37" spans="1:6" ht="17.25" customHeight="1" x14ac:dyDescent="0.35">
      <c r="A37" s="10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5" t="str">
        <f>IFERROR(VLOOKUP(B37,Municípios!$D$1:$H$5571,3,FALSE),"")</f>
        <v/>
      </c>
      <c r="F37" s="7" t="str">
        <f>IFERROR(E37*'Banco de Dados'!$I$4*365/313/1000,"")</f>
        <v/>
      </c>
    </row>
    <row r="38" spans="1:6" ht="17.25" customHeight="1" x14ac:dyDescent="0.35">
      <c r="A38" s="10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5" t="str">
        <f>IFERROR(VLOOKUP(B38,Municípios!$D$1:$H$5571,3,FALSE),"")</f>
        <v/>
      </c>
      <c r="F38" s="7" t="str">
        <f>IFERROR(E38*'Banco de Dados'!$I$4*365/313/1000,"")</f>
        <v/>
      </c>
    </row>
    <row r="39" spans="1:6" ht="17.25" customHeight="1" x14ac:dyDescent="0.35">
      <c r="A39" s="10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5" t="str">
        <f>IFERROR(VLOOKUP(B39,Municípios!$D$1:$H$5571,3,FALSE),"")</f>
        <v/>
      </c>
      <c r="F39" s="7" t="str">
        <f>IFERROR(E39*'Banco de Dados'!$I$4*365/313/1000,"")</f>
        <v/>
      </c>
    </row>
    <row r="40" spans="1:6" ht="17.25" customHeight="1" x14ac:dyDescent="0.35">
      <c r="A40" s="10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5" t="str">
        <f>IFERROR(VLOOKUP(B40,Municípios!$D$1:$H$5571,3,FALSE),"")</f>
        <v/>
      </c>
      <c r="F40" s="7" t="str">
        <f>IFERROR(E40*'Banco de Dados'!$I$4*365/313/1000,"")</f>
        <v/>
      </c>
    </row>
    <row r="41" spans="1:6" ht="17.25" customHeight="1" x14ac:dyDescent="0.35">
      <c r="A41" s="10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5" t="str">
        <f>IFERROR(VLOOKUP(B41,Municípios!$D$1:$H$5571,3,FALSE),"")</f>
        <v/>
      </c>
      <c r="F41" s="7" t="str">
        <f>IFERROR(E41*'Banco de Dados'!$I$4*365/313/1000,"")</f>
        <v/>
      </c>
    </row>
    <row r="42" spans="1:6" ht="17.25" customHeight="1" x14ac:dyDescent="0.35">
      <c r="A42" s="10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5" t="str">
        <f>IFERROR(VLOOKUP(B42,Municípios!$D$1:$H$5571,3,FALSE),"")</f>
        <v/>
      </c>
      <c r="F42" s="7" t="str">
        <f>IFERROR(E42*'Banco de Dados'!$I$4*365/313/1000,"")</f>
        <v/>
      </c>
    </row>
    <row r="43" spans="1:6" ht="17.25" customHeight="1" x14ac:dyDescent="0.35">
      <c r="A43" s="10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5" t="str">
        <f>IFERROR(VLOOKUP(B43,Municípios!$D$1:$H$5571,3,FALSE),"")</f>
        <v/>
      </c>
      <c r="F43" s="7" t="str">
        <f>IFERROR(E43*'Banco de Dados'!$I$4*365/313/1000,"")</f>
        <v/>
      </c>
    </row>
    <row r="44" spans="1:6" ht="17.25" customHeight="1" x14ac:dyDescent="0.35">
      <c r="A44" s="10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5" t="str">
        <f>IFERROR(VLOOKUP(B44,Municípios!$D$1:$H$5571,3,FALSE),"")</f>
        <v/>
      </c>
      <c r="F44" s="7" t="str">
        <f>IFERROR(E44*'Banco de Dados'!$I$4*365/313/1000,"")</f>
        <v/>
      </c>
    </row>
    <row r="45" spans="1:6" ht="17.25" customHeight="1" x14ac:dyDescent="0.35">
      <c r="A45" s="10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5" t="str">
        <f>IFERROR(VLOOKUP(B45,Municípios!$D$1:$H$5571,3,FALSE),"")</f>
        <v/>
      </c>
      <c r="F45" s="7" t="str">
        <f>IFERROR(E45*'Banco de Dados'!$I$4*365/313/1000,"")</f>
        <v/>
      </c>
    </row>
    <row r="46" spans="1:6" ht="17.25" customHeight="1" x14ac:dyDescent="0.35">
      <c r="A46" s="10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5" t="str">
        <f>IFERROR(VLOOKUP(B46,Municípios!$D$1:$H$5571,3,FALSE),"")</f>
        <v/>
      </c>
      <c r="F46" s="7" t="str">
        <f>IFERROR(E46*'Banco de Dados'!$I$4*365/313/1000,"")</f>
        <v/>
      </c>
    </row>
    <row r="47" spans="1:6" ht="17.25" customHeight="1" x14ac:dyDescent="0.35">
      <c r="A47" s="10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5" t="str">
        <f>IFERROR(VLOOKUP(B47,Municípios!$D$1:$H$5571,3,FALSE),"")</f>
        <v/>
      </c>
      <c r="F47" s="7" t="str">
        <f>IFERROR(E47*'Banco de Dados'!$I$4*365/313/1000,"")</f>
        <v/>
      </c>
    </row>
    <row r="48" spans="1:6" ht="17.25" customHeight="1" x14ac:dyDescent="0.35">
      <c r="A48" s="10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5" t="str">
        <f>IFERROR(VLOOKUP(B48,Municípios!$D$1:$H$5571,3,FALSE),"")</f>
        <v/>
      </c>
      <c r="F48" s="7" t="str">
        <f>IFERROR(E48*'Banco de Dados'!$I$4*365/313/1000,"")</f>
        <v/>
      </c>
    </row>
    <row r="49" spans="1:6" ht="17.25" customHeight="1" x14ac:dyDescent="0.35">
      <c r="A49" s="10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5" t="str">
        <f>IFERROR(VLOOKUP(B49,Municípios!$D$1:$H$5571,3,FALSE),"")</f>
        <v/>
      </c>
      <c r="F49" s="7" t="str">
        <f>IFERROR(E49*'Banco de Dados'!$I$4*365/313/1000,"")</f>
        <v/>
      </c>
    </row>
    <row r="50" spans="1:6" ht="17.25" customHeight="1" x14ac:dyDescent="0.35">
      <c r="A50" s="10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5" t="str">
        <f>IFERROR(VLOOKUP(B50,Municípios!$D$1:$H$5571,3,FALSE),"")</f>
        <v/>
      </c>
      <c r="F50" s="7" t="str">
        <f>IFERROR(E50*'Banco de Dados'!$I$4*365/313/1000,"")</f>
        <v/>
      </c>
    </row>
    <row r="51" spans="1:6" ht="17.25" customHeight="1" x14ac:dyDescent="0.35">
      <c r="A51" s="10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5" t="str">
        <f>IFERROR(VLOOKUP(B51,Municípios!$D$1:$H$5571,3,FALSE),"")</f>
        <v/>
      </c>
      <c r="F51" s="7" t="str">
        <f>IFERROR(E51*'Banco de Dados'!$I$4*365/313/1000,"")</f>
        <v/>
      </c>
    </row>
    <row r="52" spans="1:6" ht="17.25" customHeight="1" x14ac:dyDescent="0.35">
      <c r="A52" s="10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5" t="str">
        <f>IFERROR(VLOOKUP(B52,Municípios!$D$1:$H$5571,3,FALSE),"")</f>
        <v/>
      </c>
      <c r="F52" s="7" t="str">
        <f>IFERROR(E52*'Banco de Dados'!$I$4*365/313/1000,"")</f>
        <v/>
      </c>
    </row>
    <row r="53" spans="1:6" ht="17.25" customHeight="1" x14ac:dyDescent="0.35">
      <c r="A53" s="10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5" t="str">
        <f>IFERROR(VLOOKUP(B53,Municípios!$D$1:$H$5571,3,FALSE),"")</f>
        <v/>
      </c>
      <c r="F53" s="7" t="str">
        <f>IFERROR(E53*'Banco de Dados'!$I$4*365/313/1000,"")</f>
        <v/>
      </c>
    </row>
    <row r="54" spans="1:6" ht="17.25" customHeight="1" x14ac:dyDescent="0.35">
      <c r="A54" s="10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5" t="str">
        <f>IFERROR(VLOOKUP(B54,Municípios!$D$1:$H$5571,3,FALSE),"")</f>
        <v/>
      </c>
      <c r="F54" s="7" t="str">
        <f>IFERROR(E54*'Banco de Dados'!$I$4*365/313/1000,"")</f>
        <v/>
      </c>
    </row>
    <row r="55" spans="1:6" ht="17.25" customHeight="1" x14ac:dyDescent="0.35">
      <c r="A55" s="10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5" t="str">
        <f>IFERROR(VLOOKUP(B55,Municípios!$D$1:$H$5571,3,FALSE),"")</f>
        <v/>
      </c>
      <c r="F55" s="7" t="str">
        <f>IFERROR(E55*'Banco de Dados'!$I$4*365/313/1000,"")</f>
        <v/>
      </c>
    </row>
    <row r="56" spans="1:6" ht="17.25" customHeight="1" x14ac:dyDescent="0.35">
      <c r="A56" s="10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5" t="str">
        <f>IFERROR(VLOOKUP(B56,Municípios!$D$1:$H$5571,3,FALSE),"")</f>
        <v/>
      </c>
      <c r="F56" s="7" t="str">
        <f>IFERROR(E56*'Banco de Dados'!$I$4*365/313/1000,"")</f>
        <v/>
      </c>
    </row>
    <row r="57" spans="1:6" ht="17.25" customHeight="1" x14ac:dyDescent="0.35">
      <c r="A57" s="10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5" t="str">
        <f>IFERROR(VLOOKUP(B57,Municípios!$D$1:$H$5571,3,FALSE),"")</f>
        <v/>
      </c>
      <c r="F57" s="7" t="str">
        <f>IFERROR(E57*'Banco de Dados'!$I$4*365/313/1000,"")</f>
        <v/>
      </c>
    </row>
    <row r="58" spans="1:6" ht="17.25" customHeight="1" x14ac:dyDescent="0.35">
      <c r="A58" s="10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5" t="str">
        <f>IFERROR(VLOOKUP(B58,Municípios!$D$1:$H$5571,3,FALSE),"")</f>
        <v/>
      </c>
      <c r="F58" s="7" t="str">
        <f>IFERROR(E58*'Banco de Dados'!$I$4*365/313/1000,"")</f>
        <v/>
      </c>
    </row>
    <row r="59" spans="1:6" ht="17.25" customHeight="1" x14ac:dyDescent="0.35">
      <c r="A59" s="10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5" t="str">
        <f>IFERROR(VLOOKUP(B59,Municípios!$D$1:$H$5571,3,FALSE),"")</f>
        <v/>
      </c>
      <c r="F59" s="7" t="str">
        <f>IFERROR(E59*'Banco de Dados'!$I$4*365/313/1000,"")</f>
        <v/>
      </c>
    </row>
    <row r="60" spans="1:6" ht="17.25" customHeight="1" x14ac:dyDescent="0.35">
      <c r="A60" s="10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5" t="str">
        <f>IFERROR(VLOOKUP(B60,Municípios!$D$1:$H$5571,3,FALSE),"")</f>
        <v/>
      </c>
      <c r="F60" s="7" t="str">
        <f>IFERROR(E60*'Banco de Dados'!$I$4*365/313/1000,"")</f>
        <v/>
      </c>
    </row>
    <row r="61" spans="1:6" ht="17.25" customHeight="1" x14ac:dyDescent="0.35">
      <c r="A61" s="10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5" t="str">
        <f>IFERROR(VLOOKUP(B61,Municípios!$D$1:$H$5571,3,FALSE),"")</f>
        <v/>
      </c>
      <c r="F61" s="7" t="str">
        <f>IFERROR(E61*'Banco de Dados'!$I$4*365/313/1000,"")</f>
        <v/>
      </c>
    </row>
    <row r="62" spans="1:6" ht="17.25" customHeight="1" x14ac:dyDescent="0.35">
      <c r="A62" s="10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5" t="str">
        <f>IFERROR(VLOOKUP(B62,Municípios!$D$1:$H$5571,3,FALSE),"")</f>
        <v/>
      </c>
      <c r="F62" s="7" t="str">
        <f>IFERROR(E62*'Banco de Dados'!$I$4*365/313/1000,"")</f>
        <v/>
      </c>
    </row>
    <row r="63" spans="1:6" ht="17.25" customHeight="1" x14ac:dyDescent="0.35">
      <c r="A63" s="10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5" t="str">
        <f>IFERROR(VLOOKUP(B63,Municípios!$D$1:$H$5571,3,FALSE),"")</f>
        <v/>
      </c>
      <c r="F63" s="7" t="str">
        <f>IFERROR(E63*'Banco de Dados'!$I$4*365/313/1000,"")</f>
        <v/>
      </c>
    </row>
    <row r="64" spans="1:6" ht="17.25" customHeight="1" x14ac:dyDescent="0.35">
      <c r="A64" s="10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5" t="str">
        <f>IFERROR(VLOOKUP(B64,Municípios!$D$1:$H$5571,3,FALSE),"")</f>
        <v/>
      </c>
      <c r="F64" s="7" t="str">
        <f>IFERROR(E64*'Banco de Dados'!$I$4*365/313/1000,"")</f>
        <v/>
      </c>
    </row>
    <row r="65" spans="1:6" ht="17.25" customHeight="1" x14ac:dyDescent="0.35">
      <c r="A65" s="10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5" t="str">
        <f>IFERROR(VLOOKUP(B65,Municípios!$D$1:$H$5571,3,FALSE),"")</f>
        <v/>
      </c>
      <c r="F65" s="7" t="str">
        <f>IFERROR(E65*'Banco de Dados'!$I$4*365/313/1000,"")</f>
        <v/>
      </c>
    </row>
    <row r="66" spans="1:6" ht="17.25" customHeight="1" x14ac:dyDescent="0.35">
      <c r="A66" s="10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5" t="str">
        <f>IFERROR(VLOOKUP(B66,Municípios!$D$1:$H$5571,3,FALSE),"")</f>
        <v/>
      </c>
      <c r="F66" s="7" t="str">
        <f>IFERROR(E66*'Banco de Dados'!$I$4*365/313/1000,"")</f>
        <v/>
      </c>
    </row>
    <row r="67" spans="1:6" ht="17.25" customHeight="1" x14ac:dyDescent="0.35">
      <c r="A67" s="10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5" t="str">
        <f>IFERROR(VLOOKUP(B67,Municípios!$D$1:$H$5571,3,FALSE),"")</f>
        <v/>
      </c>
      <c r="F67" s="7" t="str">
        <f>IFERROR(E67*'Banco de Dados'!$I$4*365/313/1000,"")</f>
        <v/>
      </c>
    </row>
    <row r="68" spans="1:6" ht="17.25" customHeight="1" x14ac:dyDescent="0.35">
      <c r="A68" s="10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5" t="str">
        <f>IFERROR(VLOOKUP(B68,Municípios!$D$1:$H$5571,3,FALSE),"")</f>
        <v/>
      </c>
      <c r="F68" s="7" t="str">
        <f>IFERROR(E68*'Banco de Dados'!$I$4*365/313/1000,"")</f>
        <v/>
      </c>
    </row>
    <row r="69" spans="1:6" ht="17.25" customHeight="1" x14ac:dyDescent="0.35">
      <c r="A69" s="10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5" t="str">
        <f>IFERROR(VLOOKUP(B69,Municípios!$D$1:$H$5571,3,FALSE),"")</f>
        <v/>
      </c>
      <c r="F69" s="7" t="str">
        <f>IFERROR(E69*'Banco de Dados'!$I$4*365/313/1000,"")</f>
        <v/>
      </c>
    </row>
    <row r="70" spans="1:6" ht="17.25" customHeight="1" x14ac:dyDescent="0.35">
      <c r="A70" s="10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5" t="str">
        <f>IFERROR(VLOOKUP(B70,Municípios!$D$1:$H$5571,3,FALSE),"")</f>
        <v/>
      </c>
      <c r="F70" s="7" t="str">
        <f>IFERROR(E70*'Banco de Dados'!$I$4*365/313/1000,"")</f>
        <v/>
      </c>
    </row>
    <row r="71" spans="1:6" ht="17.25" customHeight="1" x14ac:dyDescent="0.35">
      <c r="A71" s="10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5" t="str">
        <f>IFERROR(VLOOKUP(B71,Municípios!$D$1:$H$5571,3,FALSE),"")</f>
        <v/>
      </c>
      <c r="F71" s="7" t="str">
        <f>IFERROR(E71*'Banco de Dados'!$I$4*365/313/1000,"")</f>
        <v/>
      </c>
    </row>
    <row r="72" spans="1:6" ht="17.25" customHeight="1" x14ac:dyDescent="0.35">
      <c r="A72" s="10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5" t="str">
        <f>IFERROR(VLOOKUP(B72,Municípios!$D$1:$H$5571,3,FALSE),"")</f>
        <v/>
      </c>
      <c r="F72" s="7" t="str">
        <f>IFERROR(E72*'Banco de Dados'!$I$4*365/313/1000,"")</f>
        <v/>
      </c>
    </row>
    <row r="73" spans="1:6" ht="17.25" customHeight="1" x14ac:dyDescent="0.35">
      <c r="A73" s="10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5" t="str">
        <f>IFERROR(VLOOKUP(B73,Municípios!$D$1:$H$5571,3,FALSE),"")</f>
        <v/>
      </c>
      <c r="F73" s="7" t="str">
        <f>IFERROR(E73*'Banco de Dados'!$I$4*365/313/1000,"")</f>
        <v/>
      </c>
    </row>
    <row r="74" spans="1:6" ht="17.25" customHeight="1" x14ac:dyDescent="0.35">
      <c r="A74" s="10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5" t="str">
        <f>IFERROR(VLOOKUP(B74,Municípios!$D$1:$H$5571,3,FALSE),"")</f>
        <v/>
      </c>
      <c r="F74" s="7" t="str">
        <f>IFERROR(E74*'Banco de Dados'!$I$4*365/313/1000,"")</f>
        <v/>
      </c>
    </row>
    <row r="75" spans="1:6" ht="17.25" customHeight="1" x14ac:dyDescent="0.35">
      <c r="A75" s="10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5" t="str">
        <f>IFERROR(VLOOKUP(B75,Municípios!$D$1:$H$5571,3,FALSE),"")</f>
        <v/>
      </c>
      <c r="F75" s="7" t="str">
        <f>IFERROR(E75*'Banco de Dados'!$I$4*365/313/1000,"")</f>
        <v/>
      </c>
    </row>
    <row r="76" spans="1:6" ht="17.25" customHeight="1" x14ac:dyDescent="0.35">
      <c r="A76" s="10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5" t="str">
        <f>IFERROR(VLOOKUP(B76,Municípios!$D$1:$H$5571,3,FALSE),"")</f>
        <v/>
      </c>
      <c r="F76" s="7" t="str">
        <f>IFERROR(E76*'Banco de Dados'!$I$4*365/313/1000,"")</f>
        <v/>
      </c>
    </row>
    <row r="77" spans="1:6" ht="17.25" customHeight="1" x14ac:dyDescent="0.35">
      <c r="A77" s="10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5" t="str">
        <f>IFERROR(VLOOKUP(B77,Municípios!$D$1:$H$5571,3,FALSE),"")</f>
        <v/>
      </c>
      <c r="F77" s="7" t="str">
        <f>IFERROR(E77*'Banco de Dados'!$I$4*365/313/1000,"")</f>
        <v/>
      </c>
    </row>
    <row r="78" spans="1:6" ht="17.25" customHeight="1" x14ac:dyDescent="0.35">
      <c r="A78" s="10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5" t="str">
        <f>IFERROR(VLOOKUP(B78,Municípios!$D$1:$H$5571,3,FALSE),"")</f>
        <v/>
      </c>
      <c r="F78" s="7" t="str">
        <f>IFERROR(E78*'Banco de Dados'!$I$4*365/313/1000,"")</f>
        <v/>
      </c>
    </row>
    <row r="79" spans="1:6" ht="17.25" customHeight="1" x14ac:dyDescent="0.35">
      <c r="A79" s="10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5" t="str">
        <f>IFERROR(VLOOKUP(B79,Municípios!$D$1:$H$5571,3,FALSE),"")</f>
        <v/>
      </c>
      <c r="F79" s="7" t="str">
        <f>IFERROR(E79*'Banco de Dados'!$I$4*365/313/1000,"")</f>
        <v/>
      </c>
    </row>
    <row r="80" spans="1:6" ht="17.25" customHeight="1" x14ac:dyDescent="0.35">
      <c r="A80" s="10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5" t="str">
        <f>IFERROR(VLOOKUP(B80,Municípios!$D$1:$H$5571,3,FALSE),"")</f>
        <v/>
      </c>
      <c r="F80" s="7" t="str">
        <f>IFERROR(E80*'Banco de Dados'!$I$4*365/313/1000,"")</f>
        <v/>
      </c>
    </row>
    <row r="81" spans="1:6" ht="17.25" customHeight="1" x14ac:dyDescent="0.35">
      <c r="A81" s="10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5" t="str">
        <f>IFERROR(VLOOKUP(B81,Municípios!$D$1:$H$5571,3,FALSE),"")</f>
        <v/>
      </c>
      <c r="F81" s="7" t="str">
        <f>IFERROR(E81*'Banco de Dados'!$I$4*365/313/1000,"")</f>
        <v/>
      </c>
    </row>
    <row r="82" spans="1:6" ht="17.25" customHeight="1" x14ac:dyDescent="0.35">
      <c r="A82" s="10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5" t="str">
        <f>IFERROR(VLOOKUP(B82,Municípios!$D$1:$H$5571,3,FALSE),"")</f>
        <v/>
      </c>
      <c r="F82" s="7" t="str">
        <f>IFERROR(E82*'Banco de Dados'!$I$4*365/313/1000,"")</f>
        <v/>
      </c>
    </row>
    <row r="83" spans="1:6" ht="17.25" customHeight="1" x14ac:dyDescent="0.35">
      <c r="A83" s="10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5" t="str">
        <f>IFERROR(VLOOKUP(B83,Municípios!$D$1:$H$5571,3,FALSE),"")</f>
        <v/>
      </c>
      <c r="F83" s="7" t="str">
        <f>IFERROR(E83*'Banco de Dados'!$I$4*365/313/1000,"")</f>
        <v/>
      </c>
    </row>
    <row r="84" spans="1:6" ht="17.25" customHeight="1" x14ac:dyDescent="0.35">
      <c r="A84" s="10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5" t="str">
        <f>IFERROR(VLOOKUP(B84,Municípios!$D$1:$H$5571,3,FALSE),"")</f>
        <v/>
      </c>
      <c r="F84" s="7" t="str">
        <f>IFERROR(E84*'Banco de Dados'!$I$4*365/313/1000,"")</f>
        <v/>
      </c>
    </row>
    <row r="85" spans="1:6" ht="17.25" customHeight="1" x14ac:dyDescent="0.35">
      <c r="A85" s="10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5" t="str">
        <f>IFERROR(VLOOKUP(B85,Municípios!$D$1:$H$5571,3,FALSE),"")</f>
        <v/>
      </c>
      <c r="F85" s="7" t="str">
        <f>IFERROR(E85*'Banco de Dados'!$I$4*365/313/1000,"")</f>
        <v/>
      </c>
    </row>
    <row r="86" spans="1:6" ht="17.25" customHeight="1" x14ac:dyDescent="0.35">
      <c r="A86" s="10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5" t="str">
        <f>IFERROR(VLOOKUP(B86,Municípios!$D$1:$H$5571,3,FALSE),"")</f>
        <v/>
      </c>
      <c r="F86" s="7" t="str">
        <f>IFERROR(E86*'Banco de Dados'!$I$4*365/313/1000,"")</f>
        <v/>
      </c>
    </row>
    <row r="87" spans="1:6" ht="17.25" customHeight="1" x14ac:dyDescent="0.35">
      <c r="A87" s="10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5" t="str">
        <f>IFERROR(VLOOKUP(B87,Municípios!$D$1:$H$5571,3,FALSE),"")</f>
        <v/>
      </c>
      <c r="F87" s="7" t="str">
        <f>IFERROR(E87*'Banco de Dados'!$I$4*365/313/1000,"")</f>
        <v/>
      </c>
    </row>
    <row r="88" spans="1:6" ht="17.25" customHeight="1" x14ac:dyDescent="0.35">
      <c r="A88" s="10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5" t="str">
        <f>IFERROR(VLOOKUP(B88,Municípios!$D$1:$H$5571,3,FALSE),"")</f>
        <v/>
      </c>
      <c r="F88" s="7" t="str">
        <f>IFERROR(E88*'Banco de Dados'!$I$4*365/313/1000,"")</f>
        <v/>
      </c>
    </row>
    <row r="89" spans="1:6" ht="17.25" customHeight="1" x14ac:dyDescent="0.35">
      <c r="A89" s="10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5" t="str">
        <f>IFERROR(VLOOKUP(B89,Municípios!$D$1:$H$5571,3,FALSE),"")</f>
        <v/>
      </c>
      <c r="F89" s="7" t="str">
        <f>IFERROR(E89*'Banco de Dados'!$I$4*365/313/1000,"")</f>
        <v/>
      </c>
    </row>
    <row r="90" spans="1:6" ht="17.25" customHeight="1" x14ac:dyDescent="0.35">
      <c r="A90" s="10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5" t="str">
        <f>IFERROR(VLOOKUP(B90,Municípios!$D$1:$H$5571,3,FALSE),"")</f>
        <v/>
      </c>
      <c r="F90" s="7" t="str">
        <f>IFERROR(E90*'Banco de Dados'!$I$4*365/313/1000,"")</f>
        <v/>
      </c>
    </row>
    <row r="91" spans="1:6" ht="17.25" customHeight="1" x14ac:dyDescent="0.35">
      <c r="A91" s="10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5" t="str">
        <f>IFERROR(VLOOKUP(B91,Municípios!$D$1:$H$5571,3,FALSE),"")</f>
        <v/>
      </c>
      <c r="F91" s="7" t="str">
        <f>IFERROR(E91*'Banco de Dados'!$I$4*365/313/1000,"")</f>
        <v/>
      </c>
    </row>
    <row r="92" spans="1:6" ht="17.25" customHeight="1" x14ac:dyDescent="0.35">
      <c r="A92" s="10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5" t="str">
        <f>IFERROR(VLOOKUP(B92,Municípios!$D$1:$H$5571,3,FALSE),"")</f>
        <v/>
      </c>
      <c r="F92" s="7" t="str">
        <f>IFERROR(E92*'Banco de Dados'!$I$4*365/313/1000,"")</f>
        <v/>
      </c>
    </row>
    <row r="93" spans="1:6" ht="17.25" customHeight="1" x14ac:dyDescent="0.35">
      <c r="A93" s="10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5" t="str">
        <f>IFERROR(VLOOKUP(B93,Municípios!$D$1:$H$5571,3,FALSE),"")</f>
        <v/>
      </c>
      <c r="F93" s="7" t="str">
        <f>IFERROR(E93*'Banco de Dados'!$I$4*365/313/1000,"")</f>
        <v/>
      </c>
    </row>
    <row r="94" spans="1:6" ht="17.25" customHeight="1" x14ac:dyDescent="0.35">
      <c r="A94" s="10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5" t="str">
        <f>IFERROR(VLOOKUP(B94,Municípios!$D$1:$H$5571,3,FALSE),"")</f>
        <v/>
      </c>
      <c r="F94" s="7" t="str">
        <f>IFERROR(E94*'Banco de Dados'!$I$4*365/313/1000,"")</f>
        <v/>
      </c>
    </row>
    <row r="95" spans="1:6" ht="17.25" customHeight="1" x14ac:dyDescent="0.35">
      <c r="A95" s="10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5" t="str">
        <f>IFERROR(VLOOKUP(B95,Municípios!$D$1:$H$5571,3,FALSE),"")</f>
        <v/>
      </c>
      <c r="F95" s="7" t="str">
        <f>IFERROR(E95*'Banco de Dados'!$I$4*365/313/1000,"")</f>
        <v/>
      </c>
    </row>
    <row r="96" spans="1:6" ht="17.25" customHeight="1" x14ac:dyDescent="0.35">
      <c r="A96" s="10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5" t="str">
        <f>IFERROR(VLOOKUP(B96,Municípios!$D$1:$H$5571,3,FALSE),"")</f>
        <v/>
      </c>
      <c r="F96" s="7" t="str">
        <f>IFERROR(E96*'Banco de Dados'!$I$4*365/313/1000,"")</f>
        <v/>
      </c>
    </row>
    <row r="97" spans="1:6" ht="17.25" customHeight="1" x14ac:dyDescent="0.35">
      <c r="A97" s="10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5" t="str">
        <f>IFERROR(VLOOKUP(B97,Municípios!$D$1:$H$5571,3,FALSE),"")</f>
        <v/>
      </c>
      <c r="F97" s="7" t="str">
        <f>IFERROR(E97*'Banco de Dados'!$I$4*365/313/1000,"")</f>
        <v/>
      </c>
    </row>
    <row r="98" spans="1:6" ht="17.25" customHeight="1" x14ac:dyDescent="0.35">
      <c r="A98" s="10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5" t="str">
        <f>IFERROR(VLOOKUP(B98,Municípios!$D$1:$H$5571,3,FALSE),"")</f>
        <v/>
      </c>
      <c r="F98" s="7" t="str">
        <f>IFERROR(E98*'Banco de Dados'!$I$4*365/313/1000,"")</f>
        <v/>
      </c>
    </row>
    <row r="99" spans="1:6" ht="17.25" customHeight="1" x14ac:dyDescent="0.35">
      <c r="A99" s="10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5" t="str">
        <f>IFERROR(VLOOKUP(B99,Municípios!$D$1:$H$5571,3,FALSE),"")</f>
        <v/>
      </c>
      <c r="F99" s="7" t="str">
        <f>IFERROR(E99*'Banco de Dados'!$I$4*365/313/1000,"")</f>
        <v/>
      </c>
    </row>
    <row r="100" spans="1:6" ht="17.25" customHeight="1" x14ac:dyDescent="0.35">
      <c r="A100" s="10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5" t="str">
        <f>IFERROR(VLOOKUP(B100,Municípios!$D$1:$H$5571,3,FALSE),"")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C3"/>
  <sheetViews>
    <sheetView zoomScale="80" zoomScaleNormal="80" workbookViewId="0"/>
  </sheetViews>
  <sheetFormatPr defaultColWidth="15.42578125" defaultRowHeight="15" x14ac:dyDescent="0.25"/>
  <sheetData>
    <row r="1" spans="1:3" x14ac:dyDescent="0.25">
      <c r="A1">
        <v>0</v>
      </c>
      <c r="B1">
        <v>51.34</v>
      </c>
      <c r="C1">
        <v>12.25</v>
      </c>
    </row>
    <row r="2" spans="1:3" x14ac:dyDescent="0.25">
      <c r="A2">
        <v>51.34</v>
      </c>
      <c r="B2">
        <v>0</v>
      </c>
      <c r="C2">
        <v>52.21</v>
      </c>
    </row>
    <row r="3" spans="1:3" x14ac:dyDescent="0.25">
      <c r="A3">
        <v>12.25</v>
      </c>
      <c r="B3">
        <v>52.21</v>
      </c>
      <c r="C3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452"/>
  <sheetViews>
    <sheetView zoomScale="80" zoomScaleNormal="80" workbookViewId="0"/>
  </sheetViews>
  <sheetFormatPr defaultColWidth="9.140625" defaultRowHeight="16.5" x14ac:dyDescent="0.35"/>
  <cols>
    <col min="1" max="1" width="22.140625" style="15" bestFit="1" customWidth="1"/>
    <col min="2" max="2" width="17.5703125" style="15" bestFit="1" customWidth="1"/>
    <col min="3" max="3" width="17.5703125" style="15" customWidth="1"/>
    <col min="4" max="4" width="21" style="15" bestFit="1" customWidth="1"/>
    <col min="5" max="5" width="21.85546875" style="15" bestFit="1" customWidth="1"/>
    <col min="6" max="10" width="21.85546875" style="15" customWidth="1"/>
    <col min="11" max="11" width="21" style="15" bestFit="1" customWidth="1"/>
    <col min="12" max="12" width="21" style="15" customWidth="1"/>
    <col min="13" max="13" width="20.140625" style="15" bestFit="1" customWidth="1"/>
    <col min="14" max="15" width="28.140625" style="15" bestFit="1" customWidth="1"/>
    <col min="16" max="16" width="22.5703125" style="3" bestFit="1" customWidth="1"/>
    <col min="17" max="17" width="19.7109375" style="3" bestFit="1" customWidth="1"/>
    <col min="18" max="19" width="21.85546875" style="3" bestFit="1" customWidth="1"/>
    <col min="20" max="20" width="20.140625" style="3" bestFit="1" customWidth="1"/>
    <col min="21" max="22" width="21.85546875" style="3" bestFit="1" customWidth="1"/>
    <col min="23" max="23" width="20.140625" style="3" bestFit="1" customWidth="1"/>
    <col min="24" max="27" width="21.85546875" style="3" bestFit="1" customWidth="1"/>
    <col min="28" max="28" width="19.7109375" style="3" bestFit="1" customWidth="1"/>
    <col min="29" max="29" width="21" style="3" bestFit="1" customWidth="1"/>
    <col min="30" max="32" width="21.85546875" style="3" bestFit="1" customWidth="1"/>
    <col min="33" max="33" width="17.28515625" style="3" bestFit="1" customWidth="1"/>
    <col min="34" max="34" width="21.85546875" style="3" bestFit="1" customWidth="1"/>
    <col min="35" max="35" width="19.7109375" style="3" bestFit="1" customWidth="1"/>
    <col min="36" max="36" width="14.5703125" style="3" bestFit="1" customWidth="1"/>
    <col min="37" max="37" width="19.7109375" style="3" bestFit="1" customWidth="1"/>
    <col min="38" max="38" width="21.85546875" style="3" bestFit="1" customWidth="1"/>
    <col min="39" max="39" width="71.7109375" style="3" bestFit="1" customWidth="1"/>
    <col min="40" max="40" width="21.85546875" style="3" bestFit="1" customWidth="1"/>
    <col min="41" max="41" width="57.140625" style="3" bestFit="1" customWidth="1"/>
    <col min="42" max="42" width="66.5703125" style="3" bestFit="1" customWidth="1"/>
    <col min="43" max="43" width="62.85546875" style="3" bestFit="1" customWidth="1"/>
    <col min="44" max="45" width="74.42578125" style="3" bestFit="1" customWidth="1"/>
    <col min="46" max="46" width="66.42578125" style="3" bestFit="1" customWidth="1"/>
    <col min="47" max="47" width="66.5703125" style="3" bestFit="1" customWidth="1"/>
    <col min="48" max="48" width="76.85546875" style="3" bestFit="1" customWidth="1"/>
    <col min="49" max="49" width="74.42578125" style="3" bestFit="1" customWidth="1"/>
    <col min="50" max="50" width="64.85546875" style="3" bestFit="1" customWidth="1"/>
    <col min="51" max="52" width="73.42578125" style="3" bestFit="1" customWidth="1"/>
    <col min="53" max="53" width="63.5703125" style="3" bestFit="1" customWidth="1"/>
    <col min="54" max="54" width="62.85546875" style="3" bestFit="1" customWidth="1"/>
    <col min="55" max="55" width="74.42578125" style="3" bestFit="1" customWidth="1"/>
    <col min="56" max="56" width="61.7109375" style="3" bestFit="1" customWidth="1"/>
    <col min="57" max="57" width="15.42578125" style="3" bestFit="1" customWidth="1"/>
    <col min="58" max="58" width="9.42578125" style="3" bestFit="1" customWidth="1"/>
    <col min="59" max="59" width="15.42578125" style="3" bestFit="1" customWidth="1"/>
    <col min="60" max="60" width="60.85546875" style="3" bestFit="1" customWidth="1"/>
    <col min="61" max="61" width="8" style="3" bestFit="1" customWidth="1"/>
    <col min="62" max="62" width="63" style="3" bestFit="1" customWidth="1"/>
    <col min="63" max="16384" width="9.140625" style="3"/>
  </cols>
  <sheetData>
    <row r="1" spans="1:15" s="21" customFormat="1" ht="42.75" customHeight="1" x14ac:dyDescent="0.35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10157</v>
      </c>
      <c r="K1" s="20" t="s">
        <v>9886</v>
      </c>
      <c r="L1" s="20" t="s">
        <v>10158</v>
      </c>
      <c r="M1" s="20" t="s">
        <v>10159</v>
      </c>
      <c r="N1" s="20" t="s">
        <v>10160</v>
      </c>
      <c r="O1" s="20" t="s">
        <v>10161</v>
      </c>
    </row>
    <row r="2" spans="1:15" s="84" customFormat="1" x14ac:dyDescent="0.35">
      <c r="A2" s="15">
        <v>1</v>
      </c>
      <c r="B2" s="15" t="s">
        <v>9720</v>
      </c>
      <c r="C2" s="15" t="s">
        <v>10455</v>
      </c>
      <c r="D2" s="15" t="s">
        <v>10585</v>
      </c>
      <c r="E2" s="15" t="s">
        <v>10570</v>
      </c>
      <c r="F2" s="15" t="s">
        <v>9780</v>
      </c>
      <c r="G2" s="15" t="s">
        <v>9780</v>
      </c>
      <c r="H2" s="15" t="s">
        <v>9780</v>
      </c>
      <c r="I2" s="15">
        <v>73378</v>
      </c>
      <c r="J2" s="15">
        <v>1495.2958190792299</v>
      </c>
      <c r="K2" s="15">
        <v>77.012</v>
      </c>
      <c r="L2" s="15">
        <v>845.70410000000004</v>
      </c>
      <c r="M2" s="15">
        <v>596.15294492505905</v>
      </c>
      <c r="N2" s="15">
        <v>53.438774154176599</v>
      </c>
      <c r="O2" s="15">
        <v>0</v>
      </c>
    </row>
    <row r="3" spans="1:15" s="15" customFormat="1" x14ac:dyDescent="0.35">
      <c r="A3" s="15">
        <v>1</v>
      </c>
      <c r="B3" s="15" t="s">
        <v>9720</v>
      </c>
      <c r="C3" s="15" t="s">
        <v>10456</v>
      </c>
      <c r="D3" s="15" t="s">
        <v>10585</v>
      </c>
      <c r="E3" s="15" t="s">
        <v>10586</v>
      </c>
      <c r="F3" s="85" t="s">
        <v>10587</v>
      </c>
      <c r="G3" s="85" t="s">
        <v>10588</v>
      </c>
      <c r="H3" s="85" t="s">
        <v>10588</v>
      </c>
      <c r="I3" s="85">
        <v>73378</v>
      </c>
      <c r="J3" s="15">
        <v>1253.29655</v>
      </c>
      <c r="K3" s="15">
        <v>77.012</v>
      </c>
      <c r="L3" s="15">
        <v>845.70410000000004</v>
      </c>
      <c r="M3" s="15">
        <v>596.15294492505905</v>
      </c>
      <c r="N3" s="15">
        <v>53.438774154176599</v>
      </c>
      <c r="O3" s="15">
        <v>0</v>
      </c>
    </row>
    <row r="4" spans="1:15" s="84" customFormat="1" x14ac:dyDescent="0.35">
      <c r="A4" s="15">
        <v>2</v>
      </c>
      <c r="B4" s="15" t="s">
        <v>9720</v>
      </c>
      <c r="C4" s="15" t="s">
        <v>10571</v>
      </c>
      <c r="D4" s="15" t="s">
        <v>10585</v>
      </c>
      <c r="E4" s="15" t="s">
        <v>10570</v>
      </c>
      <c r="F4" s="15" t="s">
        <v>9780</v>
      </c>
      <c r="G4" s="15" t="s">
        <v>9780</v>
      </c>
      <c r="H4" s="15" t="s">
        <v>9780</v>
      </c>
      <c r="I4" s="15">
        <v>73378</v>
      </c>
      <c r="J4" s="15">
        <v>1495.2958190792299</v>
      </c>
      <c r="K4" s="15">
        <v>77.012</v>
      </c>
      <c r="L4" s="15">
        <v>845.70410000000004</v>
      </c>
      <c r="M4" s="15">
        <v>596.15294492505905</v>
      </c>
      <c r="N4" s="15">
        <v>53.438774154176599</v>
      </c>
      <c r="O4" s="15">
        <v>0</v>
      </c>
    </row>
    <row r="5" spans="1:15" s="15" customFormat="1" x14ac:dyDescent="0.35">
      <c r="A5" s="15">
        <v>2</v>
      </c>
      <c r="B5" s="15" t="s">
        <v>9720</v>
      </c>
      <c r="C5" s="15" t="s">
        <v>10572</v>
      </c>
      <c r="D5" s="15" t="s">
        <v>10585</v>
      </c>
      <c r="E5" s="15" t="s">
        <v>10586</v>
      </c>
      <c r="F5" s="85" t="s">
        <v>10587</v>
      </c>
      <c r="G5" s="85" t="s">
        <v>10588</v>
      </c>
      <c r="H5" s="85" t="s">
        <v>10588</v>
      </c>
      <c r="I5" s="85">
        <v>73378</v>
      </c>
      <c r="J5" s="15">
        <v>1253.29655</v>
      </c>
      <c r="K5" s="15">
        <v>77.012</v>
      </c>
      <c r="L5" s="15">
        <v>845.70410000000004</v>
      </c>
      <c r="M5" s="15">
        <v>596.15294492505905</v>
      </c>
      <c r="N5" s="15">
        <v>53.438774154176599</v>
      </c>
      <c r="O5" s="15">
        <v>0</v>
      </c>
    </row>
    <row r="6" spans="1:15" s="15" customFormat="1" x14ac:dyDescent="0.35">
      <c r="A6" s="15">
        <v>3</v>
      </c>
      <c r="B6" s="15" t="s">
        <v>9720</v>
      </c>
      <c r="C6" s="15" t="s">
        <v>10457</v>
      </c>
      <c r="D6" s="15" t="s">
        <v>10589</v>
      </c>
      <c r="E6" s="15" t="s">
        <v>10570</v>
      </c>
      <c r="F6" s="85" t="s">
        <v>9780</v>
      </c>
      <c r="G6" s="85" t="s">
        <v>9780</v>
      </c>
      <c r="H6" s="85" t="s">
        <v>9780</v>
      </c>
      <c r="I6" s="85">
        <v>73378</v>
      </c>
      <c r="J6" s="15">
        <v>2000.2747528949601</v>
      </c>
      <c r="K6" s="15">
        <v>77.012</v>
      </c>
      <c r="L6" s="15">
        <v>1453.1718477224299</v>
      </c>
      <c r="M6" s="15">
        <v>507.442247410677</v>
      </c>
      <c r="N6" s="15">
        <v>39.660657761856797</v>
      </c>
      <c r="O6" s="15">
        <v>4.8645936633251896</v>
      </c>
    </row>
    <row r="7" spans="1:15" s="6" customFormat="1" x14ac:dyDescent="0.35">
      <c r="A7" s="15">
        <v>3</v>
      </c>
      <c r="B7" s="15" t="s">
        <v>9720</v>
      </c>
      <c r="C7" s="15" t="s">
        <v>10573</v>
      </c>
      <c r="D7" s="15" t="s">
        <v>10589</v>
      </c>
      <c r="E7" s="15" t="s">
        <v>10590</v>
      </c>
      <c r="F7" s="85" t="s">
        <v>10587</v>
      </c>
      <c r="G7" s="85" t="s">
        <v>10588</v>
      </c>
      <c r="H7" s="85" t="s">
        <v>10587</v>
      </c>
      <c r="I7" s="85">
        <v>18919</v>
      </c>
      <c r="J7" s="15">
        <v>2881.5907999999999</v>
      </c>
      <c r="K7" s="15">
        <v>19.856000000000002</v>
      </c>
      <c r="L7" s="15">
        <v>2511.5907999999999</v>
      </c>
      <c r="M7" s="15">
        <v>422.23912414331301</v>
      </c>
      <c r="N7" s="15">
        <v>0</v>
      </c>
      <c r="O7" s="15">
        <v>30.877531398371602</v>
      </c>
    </row>
    <row r="8" spans="1:15" x14ac:dyDescent="0.35">
      <c r="A8" s="15">
        <v>3</v>
      </c>
      <c r="B8" s="15" t="s">
        <v>9720</v>
      </c>
      <c r="C8" s="15" t="s">
        <v>10574</v>
      </c>
      <c r="D8" s="15" t="s">
        <v>10589</v>
      </c>
      <c r="E8" s="15" t="s">
        <v>10591</v>
      </c>
      <c r="F8" s="85" t="s">
        <v>10587</v>
      </c>
      <c r="G8" s="85" t="s">
        <v>10588</v>
      </c>
      <c r="H8" s="85" t="s">
        <v>10588</v>
      </c>
      <c r="I8" s="85">
        <v>54459</v>
      </c>
      <c r="J8" s="15">
        <v>1486.1974499999999</v>
      </c>
      <c r="K8" s="15">
        <v>57.155999999999999</v>
      </c>
      <c r="L8" s="15">
        <v>1085.4770000000001</v>
      </c>
      <c r="M8" s="15">
        <v>537.04182078174597</v>
      </c>
      <c r="N8" s="15">
        <v>53.438774154176599</v>
      </c>
      <c r="O8" s="15">
        <v>0</v>
      </c>
    </row>
    <row r="9" spans="1:15" x14ac:dyDescent="0.35">
      <c r="A9" s="15">
        <v>4</v>
      </c>
      <c r="B9" s="15" t="s">
        <v>9720</v>
      </c>
      <c r="C9" s="15" t="s">
        <v>10320</v>
      </c>
      <c r="D9" s="15" t="s">
        <v>10592</v>
      </c>
      <c r="E9" s="15" t="s">
        <v>10570</v>
      </c>
      <c r="F9" s="85" t="s">
        <v>9780</v>
      </c>
      <c r="G9" s="85" t="s">
        <v>9780</v>
      </c>
      <c r="H9" s="85" t="s">
        <v>9780</v>
      </c>
      <c r="I9" s="85">
        <v>73378</v>
      </c>
      <c r="J9" s="15">
        <v>2000.4509912895301</v>
      </c>
      <c r="K9" s="15">
        <v>77.012</v>
      </c>
      <c r="L9" s="15">
        <v>1465.26782503202</v>
      </c>
      <c r="M9" s="15">
        <v>526.40524309531804</v>
      </c>
      <c r="N9" s="15">
        <v>8.7779231621878306</v>
      </c>
      <c r="O9" s="15">
        <v>56.3511440764158</v>
      </c>
    </row>
    <row r="10" spans="1:15" x14ac:dyDescent="0.35">
      <c r="A10" s="15">
        <v>4</v>
      </c>
      <c r="B10" s="15" t="s">
        <v>9720</v>
      </c>
      <c r="C10" s="15" t="s">
        <v>10575</v>
      </c>
      <c r="D10" s="15" t="s">
        <v>10592</v>
      </c>
      <c r="E10" s="15" t="s">
        <v>10593</v>
      </c>
      <c r="F10" s="85" t="s">
        <v>10587</v>
      </c>
      <c r="G10" s="85" t="s">
        <v>10588</v>
      </c>
      <c r="H10" s="85" t="s">
        <v>10587</v>
      </c>
      <c r="I10" s="85">
        <v>56893</v>
      </c>
      <c r="J10" s="15">
        <v>1441.49033333333</v>
      </c>
      <c r="K10" s="15">
        <v>59.710999999999999</v>
      </c>
      <c r="L10" s="15">
        <v>1045.78933333333</v>
      </c>
      <c r="M10" s="15">
        <v>558.91102817986803</v>
      </c>
      <c r="N10" s="15">
        <v>0</v>
      </c>
      <c r="O10" s="15">
        <v>518.923778934653</v>
      </c>
    </row>
    <row r="11" spans="1:15" s="6" customFormat="1" x14ac:dyDescent="0.35">
      <c r="A11" s="15">
        <v>4</v>
      </c>
      <c r="B11" s="15" t="s">
        <v>9720</v>
      </c>
      <c r="C11" s="15" t="s">
        <v>10576</v>
      </c>
      <c r="D11" s="15" t="s">
        <v>10592</v>
      </c>
      <c r="E11" s="15" t="s">
        <v>10594</v>
      </c>
      <c r="F11" s="85" t="s">
        <v>10587</v>
      </c>
      <c r="G11" s="85" t="s">
        <v>10588</v>
      </c>
      <c r="H11" s="85" t="s">
        <v>10595</v>
      </c>
      <c r="I11" s="85">
        <v>16485</v>
      </c>
      <c r="J11" s="15">
        <v>3287.5172416666601</v>
      </c>
      <c r="K11" s="15">
        <v>17.300999999999998</v>
      </c>
      <c r="L11" s="15">
        <v>2913.0153666666602</v>
      </c>
      <c r="M11" s="15">
        <v>414.21791674519102</v>
      </c>
      <c r="N11" s="15">
        <v>39.073199154176599</v>
      </c>
      <c r="O11" s="15">
        <v>166.531569619555</v>
      </c>
    </row>
    <row r="12" spans="1:15" s="6" customFormat="1" x14ac:dyDescent="0.35">
      <c r="A12" s="15">
        <v>5</v>
      </c>
      <c r="B12" s="15" t="s">
        <v>9719</v>
      </c>
      <c r="C12" s="15" t="s">
        <v>10577</v>
      </c>
      <c r="D12" s="15" t="s">
        <v>10596</v>
      </c>
      <c r="E12" s="15" t="s">
        <v>10570</v>
      </c>
      <c r="F12" s="85" t="s">
        <v>9780</v>
      </c>
      <c r="G12" s="85" t="s">
        <v>9780</v>
      </c>
      <c r="H12" s="85" t="s">
        <v>9780</v>
      </c>
      <c r="I12" s="85">
        <v>73378</v>
      </c>
      <c r="J12" s="15">
        <v>2030.3454242217599</v>
      </c>
      <c r="K12" s="15">
        <v>77.012</v>
      </c>
      <c r="L12" s="15">
        <v>1526.8054978895</v>
      </c>
      <c r="M12" s="15">
        <v>475.884465574003</v>
      </c>
      <c r="N12" s="15">
        <v>27.655460758254598</v>
      </c>
      <c r="O12" s="15">
        <v>9.1032285832078106</v>
      </c>
    </row>
    <row r="13" spans="1:15" x14ac:dyDescent="0.35">
      <c r="A13" s="15">
        <v>5</v>
      </c>
      <c r="B13" s="15" t="s">
        <v>9719</v>
      </c>
      <c r="C13" s="15" t="s">
        <v>10578</v>
      </c>
      <c r="D13" s="15" t="s">
        <v>10596</v>
      </c>
      <c r="E13" s="15" t="s">
        <v>10597</v>
      </c>
      <c r="F13" s="85" t="s">
        <v>10587</v>
      </c>
      <c r="G13" s="85" t="s">
        <v>10588</v>
      </c>
      <c r="H13" s="85" t="s">
        <v>10587</v>
      </c>
      <c r="I13" s="85">
        <v>35404</v>
      </c>
      <c r="J13" s="15">
        <v>1952.7542333333299</v>
      </c>
      <c r="K13" s="15">
        <v>37.156999999999996</v>
      </c>
      <c r="L13" s="15">
        <v>1578.4762333333299</v>
      </c>
      <c r="M13" s="15">
        <v>474.95402972687498</v>
      </c>
      <c r="N13" s="15">
        <v>0</v>
      </c>
      <c r="O13" s="15">
        <v>51.098454681890303</v>
      </c>
    </row>
    <row r="14" spans="1:15" x14ac:dyDescent="0.35">
      <c r="A14" s="15">
        <v>5</v>
      </c>
      <c r="B14" s="15" t="s">
        <v>9719</v>
      </c>
      <c r="C14" s="15" t="s">
        <v>10579</v>
      </c>
      <c r="D14" s="15" t="s">
        <v>10596</v>
      </c>
      <c r="E14" s="15" t="s">
        <v>10598</v>
      </c>
      <c r="F14" s="85" t="s">
        <v>10587</v>
      </c>
      <c r="G14" s="85" t="s">
        <v>10588</v>
      </c>
      <c r="H14" s="85" t="s">
        <v>10588</v>
      </c>
      <c r="I14" s="85">
        <v>37974</v>
      </c>
      <c r="J14" s="15">
        <v>1867.5000833333299</v>
      </c>
      <c r="K14" s="15">
        <v>39.854999999999997</v>
      </c>
      <c r="L14" s="15">
        <v>1478.63263333333</v>
      </c>
      <c r="M14" s="15">
        <v>476.75191519818401</v>
      </c>
      <c r="N14" s="15">
        <v>53.438774154176599</v>
      </c>
      <c r="O14" s="15">
        <v>0</v>
      </c>
    </row>
    <row r="15" spans="1:15" x14ac:dyDescent="0.35">
      <c r="A15" s="15">
        <v>6</v>
      </c>
      <c r="B15" s="15" t="s">
        <v>9719</v>
      </c>
      <c r="C15" s="15" t="s">
        <v>10580</v>
      </c>
      <c r="D15" s="15" t="s">
        <v>10599</v>
      </c>
      <c r="E15" s="15" t="s">
        <v>10570</v>
      </c>
      <c r="F15" s="85" t="s">
        <v>9780</v>
      </c>
      <c r="G15" s="85" t="s">
        <v>9780</v>
      </c>
      <c r="H15" s="85" t="s">
        <v>9780</v>
      </c>
      <c r="I15" s="85">
        <v>73378</v>
      </c>
      <c r="J15" s="15">
        <v>2544.7273903464702</v>
      </c>
      <c r="K15" s="15">
        <v>77.012</v>
      </c>
      <c r="L15" s="15">
        <v>2067.19899996104</v>
      </c>
      <c r="M15" s="15">
        <v>449.81183778148801</v>
      </c>
      <c r="N15" s="15">
        <v>27.7165526039424</v>
      </c>
      <c r="O15" s="15">
        <v>16.592308085788599</v>
      </c>
    </row>
    <row r="16" spans="1:15" s="6" customFormat="1" x14ac:dyDescent="0.35">
      <c r="A16" s="15">
        <v>6</v>
      </c>
      <c r="B16" s="15" t="s">
        <v>9719</v>
      </c>
      <c r="C16" s="15" t="s">
        <v>10581</v>
      </c>
      <c r="D16" s="15" t="s">
        <v>10599</v>
      </c>
      <c r="E16" s="15" t="s">
        <v>10590</v>
      </c>
      <c r="F16" s="85" t="s">
        <v>10587</v>
      </c>
      <c r="G16" s="85" t="s">
        <v>10588</v>
      </c>
      <c r="H16" s="85" t="s">
        <v>10587</v>
      </c>
      <c r="I16" s="85">
        <v>18919</v>
      </c>
      <c r="J16" s="15">
        <v>2881.5907999999999</v>
      </c>
      <c r="K16" s="15">
        <v>19.856000000000002</v>
      </c>
      <c r="L16" s="15">
        <v>2511.5907999999999</v>
      </c>
      <c r="M16" s="15">
        <v>423.48113637396699</v>
      </c>
      <c r="N16" s="15">
        <v>0</v>
      </c>
      <c r="O16" s="15">
        <v>34.474536158649698</v>
      </c>
    </row>
    <row r="17" spans="1:15" x14ac:dyDescent="0.35">
      <c r="A17" s="15">
        <v>6</v>
      </c>
      <c r="B17" s="15" t="s">
        <v>9719</v>
      </c>
      <c r="C17" s="15" t="s">
        <v>10582</v>
      </c>
      <c r="D17" s="15" t="s">
        <v>10599</v>
      </c>
      <c r="E17" s="15" t="s">
        <v>10598</v>
      </c>
      <c r="F17" s="85" t="s">
        <v>10587</v>
      </c>
      <c r="G17" s="85" t="s">
        <v>10588</v>
      </c>
      <c r="H17" s="85" t="s">
        <v>10588</v>
      </c>
      <c r="I17" s="85">
        <v>37974</v>
      </c>
      <c r="J17" s="15">
        <v>1867.5000833333299</v>
      </c>
      <c r="K17" s="15">
        <v>39.854999999999997</v>
      </c>
      <c r="L17" s="15">
        <v>1478.63263333333</v>
      </c>
      <c r="M17" s="15">
        <v>477.347436048774</v>
      </c>
      <c r="N17" s="15">
        <v>50.194022262942497</v>
      </c>
      <c r="O17" s="15">
        <v>0</v>
      </c>
    </row>
    <row r="18" spans="1:15" x14ac:dyDescent="0.35">
      <c r="A18" s="15">
        <v>6</v>
      </c>
      <c r="B18" s="15" t="s">
        <v>9719</v>
      </c>
      <c r="C18" s="15" t="s">
        <v>10600</v>
      </c>
      <c r="D18" s="15" t="s">
        <v>10599</v>
      </c>
      <c r="E18" s="15" t="s">
        <v>10594</v>
      </c>
      <c r="F18" s="85" t="s">
        <v>10587</v>
      </c>
      <c r="G18" s="85" t="s">
        <v>10588</v>
      </c>
      <c r="H18" s="85" t="s">
        <v>10595</v>
      </c>
      <c r="I18" s="85">
        <v>16485</v>
      </c>
      <c r="J18" s="15">
        <v>3287.5172416666601</v>
      </c>
      <c r="K18" s="15">
        <v>17.300999999999998</v>
      </c>
      <c r="L18" s="15">
        <v>2913.0153666666602</v>
      </c>
      <c r="M18" s="15">
        <v>416.59937250231701</v>
      </c>
      <c r="N18" s="15">
        <v>7.7466268912340404</v>
      </c>
      <c r="O18" s="15">
        <v>33.016439999292203</v>
      </c>
    </row>
    <row r="19" spans="1:15" x14ac:dyDescent="0.35">
      <c r="F19" s="85"/>
      <c r="G19" s="85"/>
      <c r="H19" s="85"/>
      <c r="I19" s="85"/>
    </row>
    <row r="20" spans="1:15" s="6" customFormat="1" x14ac:dyDescent="0.35">
      <c r="A20" s="15"/>
      <c r="B20" s="15"/>
      <c r="C20" s="15"/>
      <c r="D20" s="15"/>
      <c r="E20" s="15"/>
      <c r="F20" s="85"/>
      <c r="G20" s="85"/>
      <c r="H20" s="85"/>
      <c r="I20" s="85"/>
      <c r="J20" s="15"/>
      <c r="K20" s="15"/>
      <c r="L20" s="15"/>
      <c r="M20" s="15"/>
      <c r="N20" s="15"/>
      <c r="O20" s="15"/>
    </row>
    <row r="21" spans="1:15" s="6" customFormat="1" x14ac:dyDescent="0.35">
      <c r="A21" s="15"/>
      <c r="B21" s="15"/>
      <c r="C21" s="15"/>
      <c r="D21" s="15"/>
      <c r="E21" s="15"/>
      <c r="F21" s="85"/>
      <c r="G21" s="85"/>
      <c r="H21" s="85"/>
      <c r="I21" s="85"/>
      <c r="J21" s="15"/>
      <c r="K21" s="15"/>
      <c r="L21" s="15"/>
      <c r="M21" s="15"/>
      <c r="N21" s="15"/>
      <c r="O21" s="15"/>
    </row>
    <row r="22" spans="1:15" x14ac:dyDescent="0.35">
      <c r="F22" s="85"/>
      <c r="G22" s="85"/>
      <c r="H22" s="85"/>
      <c r="I22" s="85"/>
    </row>
    <row r="23" spans="1:15" x14ac:dyDescent="0.35">
      <c r="F23" s="85"/>
      <c r="G23" s="85"/>
      <c r="H23" s="85"/>
      <c r="I23" s="85"/>
    </row>
    <row r="24" spans="1:15" x14ac:dyDescent="0.35">
      <c r="F24" s="85"/>
      <c r="G24" s="85"/>
      <c r="H24" s="85"/>
      <c r="I24" s="85"/>
    </row>
    <row r="25" spans="1:15" x14ac:dyDescent="0.35">
      <c r="F25" s="85"/>
      <c r="G25" s="85"/>
      <c r="H25" s="85"/>
      <c r="I25" s="85"/>
    </row>
    <row r="26" spans="1:15" s="6" customFormat="1" x14ac:dyDescent="0.35">
      <c r="A26" s="15"/>
      <c r="B26" s="15"/>
      <c r="C26" s="15"/>
      <c r="D26" s="15"/>
      <c r="E26" s="15"/>
      <c r="F26" s="85"/>
      <c r="G26" s="85"/>
      <c r="H26" s="85"/>
      <c r="I26" s="85"/>
      <c r="J26" s="15"/>
      <c r="K26" s="15"/>
      <c r="L26" s="15"/>
      <c r="M26" s="15"/>
      <c r="N26" s="15"/>
      <c r="O26" s="15"/>
    </row>
    <row r="27" spans="1:15" x14ac:dyDescent="0.35">
      <c r="F27" s="85"/>
      <c r="G27" s="85"/>
      <c r="H27" s="85"/>
      <c r="I27" s="85"/>
    </row>
    <row r="28" spans="1:15" x14ac:dyDescent="0.35">
      <c r="F28" s="85"/>
      <c r="G28" s="85"/>
      <c r="H28" s="85"/>
      <c r="I28" s="85"/>
    </row>
    <row r="29" spans="1:15" s="6" customFormat="1" x14ac:dyDescent="0.35">
      <c r="A29" s="15"/>
      <c r="B29" s="15"/>
      <c r="C29" s="15"/>
      <c r="D29" s="15"/>
      <c r="E29" s="15"/>
      <c r="F29" s="85"/>
      <c r="G29" s="85"/>
      <c r="H29" s="85"/>
      <c r="I29" s="85"/>
      <c r="J29" s="15"/>
      <c r="K29" s="15"/>
      <c r="L29" s="15"/>
      <c r="M29" s="15"/>
      <c r="N29" s="15"/>
      <c r="O29" s="15"/>
    </row>
    <row r="30" spans="1:15" x14ac:dyDescent="0.35">
      <c r="F30" s="85"/>
      <c r="G30" s="85"/>
      <c r="H30" s="85"/>
      <c r="I30" s="85"/>
    </row>
    <row r="31" spans="1:15" s="6" customFormat="1" x14ac:dyDescent="0.35">
      <c r="A31" s="15"/>
      <c r="B31" s="15"/>
      <c r="C31" s="15"/>
      <c r="D31" s="15"/>
      <c r="E31" s="15"/>
      <c r="F31" s="85"/>
      <c r="G31" s="85"/>
      <c r="H31" s="85"/>
      <c r="I31" s="85"/>
      <c r="J31" s="15"/>
      <c r="K31" s="15"/>
      <c r="L31" s="15"/>
      <c r="M31" s="15"/>
      <c r="N31" s="15"/>
      <c r="O31" s="15"/>
    </row>
    <row r="32" spans="1:15" x14ac:dyDescent="0.35">
      <c r="F32" s="85"/>
      <c r="G32" s="85"/>
      <c r="H32" s="85"/>
      <c r="I32" s="85"/>
    </row>
    <row r="33" spans="1:15" x14ac:dyDescent="0.35">
      <c r="F33" s="85"/>
      <c r="G33" s="85"/>
      <c r="H33" s="85"/>
      <c r="I33" s="85"/>
    </row>
    <row r="34" spans="1:15" x14ac:dyDescent="0.35">
      <c r="F34" s="85"/>
      <c r="G34" s="85"/>
      <c r="H34" s="85"/>
      <c r="I34" s="85"/>
    </row>
    <row r="35" spans="1:15" x14ac:dyDescent="0.35">
      <c r="F35" s="85"/>
      <c r="G35" s="85"/>
      <c r="H35" s="85"/>
      <c r="I35" s="85"/>
    </row>
    <row r="36" spans="1:15" s="6" customFormat="1" x14ac:dyDescent="0.35">
      <c r="A36" s="15"/>
      <c r="B36" s="15"/>
      <c r="C36" s="15"/>
      <c r="D36" s="15"/>
      <c r="E36" s="15"/>
      <c r="F36" s="85"/>
      <c r="G36" s="85"/>
      <c r="H36" s="85"/>
      <c r="I36" s="85"/>
      <c r="J36" s="15"/>
      <c r="K36" s="15"/>
      <c r="L36" s="15"/>
      <c r="M36" s="15"/>
      <c r="N36" s="15"/>
      <c r="O36" s="15"/>
    </row>
    <row r="37" spans="1:15" x14ac:dyDescent="0.35">
      <c r="F37" s="85"/>
      <c r="G37" s="85"/>
      <c r="H37" s="85"/>
      <c r="I37" s="85"/>
    </row>
    <row r="38" spans="1:15" s="6" customFormat="1" x14ac:dyDescent="0.35">
      <c r="A38" s="15"/>
      <c r="B38" s="15"/>
      <c r="C38" s="15"/>
      <c r="D38" s="15"/>
      <c r="E38" s="15"/>
      <c r="F38" s="85"/>
      <c r="G38" s="85"/>
      <c r="H38" s="85"/>
      <c r="I38" s="85"/>
      <c r="J38" s="15"/>
      <c r="K38" s="15"/>
      <c r="L38" s="15"/>
      <c r="M38" s="15"/>
      <c r="N38" s="15"/>
      <c r="O38" s="15"/>
    </row>
    <row r="39" spans="1:15" x14ac:dyDescent="0.35">
      <c r="F39" s="85"/>
      <c r="G39" s="85"/>
      <c r="H39" s="85"/>
      <c r="I39" s="85"/>
    </row>
    <row r="40" spans="1:15" x14ac:dyDescent="0.35">
      <c r="F40" s="85"/>
      <c r="G40" s="85"/>
      <c r="H40" s="85"/>
      <c r="I40" s="85"/>
    </row>
    <row r="41" spans="1:15" x14ac:dyDescent="0.35">
      <c r="F41" s="85"/>
      <c r="G41" s="85"/>
      <c r="H41" s="85"/>
      <c r="I41" s="85"/>
    </row>
    <row r="42" spans="1:15" x14ac:dyDescent="0.35">
      <c r="F42" s="85"/>
      <c r="G42" s="85"/>
      <c r="H42" s="85"/>
      <c r="I42" s="85"/>
    </row>
    <row r="43" spans="1:15" x14ac:dyDescent="0.35">
      <c r="F43" s="85"/>
      <c r="G43" s="85"/>
      <c r="H43" s="85"/>
      <c r="I43" s="85"/>
    </row>
    <row r="44" spans="1:15" x14ac:dyDescent="0.35">
      <c r="F44" s="85"/>
      <c r="G44" s="85"/>
      <c r="H44" s="85"/>
      <c r="I44" s="85"/>
    </row>
    <row r="45" spans="1:15" x14ac:dyDescent="0.35">
      <c r="F45" s="85"/>
      <c r="G45" s="85"/>
      <c r="H45" s="85"/>
      <c r="I45" s="85"/>
    </row>
    <row r="46" spans="1:15" x14ac:dyDescent="0.35">
      <c r="F46" s="85"/>
      <c r="G46" s="85"/>
      <c r="H46" s="85"/>
      <c r="I46" s="85"/>
    </row>
    <row r="47" spans="1:15" s="6" customFormat="1" x14ac:dyDescent="0.35">
      <c r="A47" s="15"/>
      <c r="B47" s="15"/>
      <c r="C47" s="15"/>
      <c r="D47" s="15"/>
      <c r="E47" s="15"/>
      <c r="F47" s="85"/>
      <c r="G47" s="85"/>
      <c r="H47" s="85"/>
      <c r="I47" s="85"/>
      <c r="J47" s="15"/>
      <c r="K47" s="15"/>
      <c r="L47" s="15"/>
      <c r="M47" s="15"/>
      <c r="N47" s="15"/>
      <c r="O47" s="15"/>
    </row>
    <row r="48" spans="1:15" x14ac:dyDescent="0.35">
      <c r="F48" s="85"/>
      <c r="G48" s="85"/>
      <c r="H48" s="85"/>
      <c r="I48" s="85"/>
    </row>
    <row r="49" spans="1:15" x14ac:dyDescent="0.35">
      <c r="F49" s="85"/>
      <c r="G49" s="85"/>
      <c r="H49" s="85"/>
      <c r="I49" s="85"/>
    </row>
    <row r="50" spans="1:15" x14ac:dyDescent="0.35">
      <c r="F50" s="85"/>
      <c r="G50" s="85"/>
      <c r="H50" s="85"/>
      <c r="I50" s="85"/>
    </row>
    <row r="51" spans="1:15" x14ac:dyDescent="0.35">
      <c r="F51" s="85"/>
      <c r="G51" s="85"/>
      <c r="H51" s="85"/>
      <c r="I51" s="85"/>
    </row>
    <row r="52" spans="1:15" x14ac:dyDescent="0.35">
      <c r="F52" s="85"/>
      <c r="G52" s="85"/>
      <c r="H52" s="85"/>
      <c r="I52" s="85"/>
    </row>
    <row r="53" spans="1:15" x14ac:dyDescent="0.35">
      <c r="F53" s="85"/>
      <c r="G53" s="85"/>
      <c r="H53" s="85"/>
      <c r="I53" s="85"/>
    </row>
    <row r="54" spans="1:15" x14ac:dyDescent="0.35">
      <c r="F54" s="85"/>
      <c r="G54" s="85"/>
      <c r="H54" s="85"/>
      <c r="I54" s="85"/>
    </row>
    <row r="55" spans="1:15" x14ac:dyDescent="0.35">
      <c r="F55" s="85"/>
      <c r="G55" s="85"/>
      <c r="H55" s="85"/>
      <c r="I55" s="85"/>
    </row>
    <row r="56" spans="1:15" s="6" customFormat="1" x14ac:dyDescent="0.35">
      <c r="A56" s="84"/>
      <c r="B56" s="84"/>
      <c r="C56" s="84"/>
      <c r="D56" s="84"/>
      <c r="E56" s="84"/>
      <c r="F56" s="86"/>
      <c r="G56" s="86"/>
      <c r="H56" s="86"/>
      <c r="I56" s="86"/>
      <c r="J56" s="84"/>
      <c r="K56" s="84"/>
      <c r="L56" s="84"/>
      <c r="M56" s="84"/>
      <c r="N56" s="84"/>
      <c r="O56" s="84"/>
    </row>
    <row r="57" spans="1:15" x14ac:dyDescent="0.35">
      <c r="F57" s="85"/>
      <c r="G57" s="85"/>
      <c r="H57" s="85"/>
      <c r="I57" s="85"/>
    </row>
    <row r="58" spans="1:15" x14ac:dyDescent="0.35">
      <c r="F58" s="85"/>
      <c r="G58" s="85"/>
      <c r="H58" s="85"/>
      <c r="I58" s="85"/>
    </row>
    <row r="59" spans="1:15" x14ac:dyDescent="0.35">
      <c r="F59" s="85"/>
      <c r="G59" s="85"/>
      <c r="H59" s="85"/>
      <c r="I59" s="85"/>
    </row>
    <row r="60" spans="1:15" x14ac:dyDescent="0.35">
      <c r="F60" s="85"/>
      <c r="G60" s="85"/>
      <c r="H60" s="85"/>
      <c r="I60" s="85"/>
    </row>
    <row r="61" spans="1:15" x14ac:dyDescent="0.35">
      <c r="F61" s="85"/>
      <c r="G61" s="85"/>
      <c r="H61" s="85"/>
      <c r="I61" s="85"/>
    </row>
    <row r="62" spans="1:15" x14ac:dyDescent="0.35">
      <c r="F62" s="85"/>
      <c r="G62" s="85"/>
      <c r="H62" s="85"/>
      <c r="I62" s="85"/>
    </row>
    <row r="63" spans="1:15" x14ac:dyDescent="0.35">
      <c r="F63" s="85"/>
      <c r="G63" s="85"/>
      <c r="H63" s="85"/>
      <c r="I63" s="85"/>
    </row>
    <row r="64" spans="1:15" x14ac:dyDescent="0.35">
      <c r="F64" s="85"/>
      <c r="G64" s="85"/>
      <c r="H64" s="85"/>
      <c r="I64" s="85"/>
    </row>
    <row r="65" spans="1:15" x14ac:dyDescent="0.35">
      <c r="F65" s="85"/>
      <c r="G65" s="85"/>
      <c r="H65" s="85"/>
      <c r="I65" s="85"/>
    </row>
    <row r="66" spans="1:15" x14ac:dyDescent="0.35">
      <c r="F66" s="85"/>
      <c r="G66" s="85"/>
      <c r="H66" s="85"/>
      <c r="I66" s="85"/>
    </row>
    <row r="67" spans="1:15" x14ac:dyDescent="0.35">
      <c r="F67" s="85"/>
      <c r="G67" s="85"/>
      <c r="H67" s="85"/>
      <c r="I67" s="85"/>
    </row>
    <row r="68" spans="1:15" x14ac:dyDescent="0.35">
      <c r="F68" s="85"/>
      <c r="G68" s="85"/>
      <c r="H68" s="85"/>
      <c r="I68" s="85"/>
    </row>
    <row r="69" spans="1:15" x14ac:dyDescent="0.35">
      <c r="F69" s="85"/>
      <c r="G69" s="85"/>
      <c r="H69" s="85"/>
      <c r="I69" s="85"/>
    </row>
    <row r="70" spans="1:15" x14ac:dyDescent="0.35">
      <c r="F70" s="85"/>
      <c r="G70" s="85"/>
      <c r="H70" s="85"/>
      <c r="I70" s="85"/>
    </row>
    <row r="71" spans="1:15" x14ac:dyDescent="0.35">
      <c r="F71" s="85"/>
      <c r="G71" s="85"/>
      <c r="H71" s="85"/>
      <c r="I71" s="85"/>
    </row>
    <row r="72" spans="1:15" x14ac:dyDescent="0.35">
      <c r="F72" s="85"/>
      <c r="G72" s="85"/>
      <c r="H72" s="85"/>
      <c r="I72" s="85"/>
    </row>
    <row r="73" spans="1:15" s="6" customFormat="1" x14ac:dyDescent="0.35">
      <c r="A73" s="84"/>
      <c r="B73" s="84"/>
      <c r="C73" s="84"/>
      <c r="D73" s="84"/>
      <c r="E73" s="84"/>
      <c r="F73" s="86"/>
      <c r="G73" s="86"/>
      <c r="H73" s="86"/>
      <c r="I73" s="86"/>
      <c r="J73" s="84"/>
      <c r="K73" s="84"/>
      <c r="L73" s="84"/>
      <c r="M73" s="84"/>
      <c r="N73" s="84"/>
      <c r="O73" s="84"/>
    </row>
    <row r="74" spans="1:15" x14ac:dyDescent="0.35">
      <c r="F74" s="85"/>
      <c r="G74" s="85"/>
      <c r="H74" s="85"/>
      <c r="I74" s="85"/>
    </row>
    <row r="75" spans="1:15" x14ac:dyDescent="0.35">
      <c r="F75" s="85"/>
      <c r="G75" s="85"/>
      <c r="H75" s="85"/>
      <c r="I75" s="85"/>
    </row>
    <row r="76" spans="1:15" x14ac:dyDescent="0.35">
      <c r="F76" s="85"/>
      <c r="G76" s="85"/>
      <c r="H76" s="85"/>
      <c r="I76" s="85"/>
    </row>
    <row r="77" spans="1:15" x14ac:dyDescent="0.35">
      <c r="F77" s="85"/>
      <c r="G77" s="85"/>
      <c r="H77" s="85"/>
      <c r="I77" s="85"/>
    </row>
    <row r="78" spans="1:15" x14ac:dyDescent="0.35">
      <c r="F78" s="85"/>
      <c r="G78" s="85"/>
      <c r="H78" s="85"/>
      <c r="I78" s="85"/>
    </row>
    <row r="79" spans="1:15" x14ac:dyDescent="0.35">
      <c r="F79" s="85"/>
      <c r="G79" s="85"/>
      <c r="H79" s="85"/>
      <c r="I79" s="85"/>
    </row>
    <row r="80" spans="1:15" x14ac:dyDescent="0.35">
      <c r="F80" s="85"/>
      <c r="G80" s="85"/>
      <c r="H80" s="85"/>
      <c r="I80" s="85"/>
    </row>
    <row r="81" spans="1:15" x14ac:dyDescent="0.35">
      <c r="F81" s="85"/>
      <c r="G81" s="85"/>
      <c r="H81" s="85"/>
      <c r="I81" s="85"/>
    </row>
    <row r="82" spans="1:15" x14ac:dyDescent="0.35">
      <c r="F82" s="85"/>
      <c r="G82" s="85"/>
      <c r="H82" s="85"/>
      <c r="I82" s="85"/>
    </row>
    <row r="83" spans="1:15" x14ac:dyDescent="0.35">
      <c r="F83" s="85"/>
      <c r="G83" s="85"/>
      <c r="H83" s="85"/>
      <c r="I83" s="85"/>
    </row>
    <row r="84" spans="1:15" x14ac:dyDescent="0.35">
      <c r="F84" s="85"/>
      <c r="G84" s="85"/>
      <c r="H84" s="85"/>
      <c r="I84" s="85"/>
    </row>
    <row r="85" spans="1:15" x14ac:dyDescent="0.35">
      <c r="F85" s="85"/>
      <c r="G85" s="85"/>
      <c r="H85" s="85"/>
      <c r="I85" s="85"/>
    </row>
    <row r="86" spans="1:15" x14ac:dyDescent="0.35">
      <c r="F86" s="85"/>
      <c r="G86" s="85"/>
      <c r="H86" s="85"/>
      <c r="I86" s="85"/>
    </row>
    <row r="87" spans="1:15" x14ac:dyDescent="0.35">
      <c r="F87" s="85"/>
      <c r="G87" s="85"/>
      <c r="H87" s="85"/>
      <c r="I87" s="85"/>
    </row>
    <row r="88" spans="1:15" x14ac:dyDescent="0.35">
      <c r="F88" s="85"/>
      <c r="G88" s="85"/>
      <c r="H88" s="85"/>
      <c r="I88" s="85"/>
    </row>
    <row r="89" spans="1:15" x14ac:dyDescent="0.35">
      <c r="F89" s="85"/>
      <c r="G89" s="85"/>
      <c r="H89" s="85"/>
      <c r="I89" s="85"/>
    </row>
    <row r="90" spans="1:15" s="6" customFormat="1" x14ac:dyDescent="0.35">
      <c r="A90" s="84"/>
      <c r="B90" s="84"/>
      <c r="C90" s="84"/>
      <c r="D90" s="84"/>
      <c r="E90" s="84"/>
      <c r="F90" s="86"/>
      <c r="G90" s="86"/>
      <c r="H90" s="86"/>
      <c r="I90" s="86"/>
      <c r="J90" s="84"/>
      <c r="K90" s="84"/>
      <c r="L90" s="84"/>
      <c r="M90" s="84"/>
      <c r="N90" s="84"/>
      <c r="O90" s="84"/>
    </row>
    <row r="91" spans="1:15" x14ac:dyDescent="0.35">
      <c r="F91" s="85"/>
      <c r="G91" s="85"/>
      <c r="H91" s="85"/>
      <c r="I91" s="85"/>
    </row>
    <row r="92" spans="1:15" x14ac:dyDescent="0.35">
      <c r="F92" s="85"/>
      <c r="G92" s="85"/>
      <c r="H92" s="85"/>
      <c r="I92" s="85"/>
    </row>
    <row r="93" spans="1:15" x14ac:dyDescent="0.35">
      <c r="F93" s="85"/>
      <c r="G93" s="85"/>
      <c r="H93" s="85"/>
      <c r="I93" s="85"/>
    </row>
    <row r="94" spans="1:15" x14ac:dyDescent="0.35">
      <c r="F94" s="85"/>
      <c r="G94" s="85"/>
      <c r="H94" s="85"/>
    </row>
    <row r="95" spans="1:15" x14ac:dyDescent="0.35">
      <c r="F95" s="85"/>
      <c r="G95" s="85"/>
      <c r="H95" s="85"/>
      <c r="I95" s="85"/>
    </row>
    <row r="96" spans="1:15" x14ac:dyDescent="0.35">
      <c r="F96" s="85"/>
      <c r="G96" s="85"/>
      <c r="H96" s="85"/>
      <c r="I96" s="85"/>
    </row>
    <row r="97" spans="1:15" x14ac:dyDescent="0.35">
      <c r="F97" s="85"/>
      <c r="G97" s="85"/>
      <c r="H97" s="85"/>
      <c r="I97" s="85"/>
    </row>
    <row r="98" spans="1:15" x14ac:dyDescent="0.35">
      <c r="F98" s="85"/>
      <c r="G98" s="85"/>
      <c r="H98" s="85"/>
      <c r="I98" s="85"/>
    </row>
    <row r="100" spans="1:15" x14ac:dyDescent="0.35">
      <c r="F100" s="85"/>
      <c r="G100" s="85"/>
      <c r="H100" s="85"/>
      <c r="I100" s="85"/>
    </row>
    <row r="101" spans="1:15" x14ac:dyDescent="0.35">
      <c r="F101" s="85"/>
      <c r="G101" s="85"/>
      <c r="H101" s="85"/>
      <c r="I101" s="85"/>
    </row>
    <row r="102" spans="1:15" x14ac:dyDescent="0.35">
      <c r="F102" s="85"/>
      <c r="G102" s="85"/>
      <c r="H102" s="85"/>
      <c r="I102" s="85"/>
    </row>
    <row r="103" spans="1:15" x14ac:dyDescent="0.35">
      <c r="F103" s="85"/>
      <c r="G103" s="85"/>
      <c r="H103" s="85"/>
      <c r="I103" s="85"/>
    </row>
    <row r="104" spans="1:15" s="6" customFormat="1" x14ac:dyDescent="0.35">
      <c r="A104" s="84"/>
      <c r="B104" s="84"/>
      <c r="C104" s="84"/>
      <c r="D104" s="84"/>
      <c r="E104" s="84"/>
      <c r="F104" s="86"/>
      <c r="G104" s="86"/>
      <c r="H104" s="86"/>
      <c r="I104" s="86"/>
      <c r="J104" s="84"/>
      <c r="K104" s="84"/>
      <c r="L104" s="84"/>
      <c r="M104" s="84"/>
      <c r="N104" s="84"/>
      <c r="O104" s="84"/>
    </row>
    <row r="106" spans="1:15" x14ac:dyDescent="0.35">
      <c r="F106" s="85"/>
      <c r="G106" s="85"/>
      <c r="H106" s="85"/>
      <c r="I106" s="85"/>
    </row>
    <row r="107" spans="1:15" s="6" customFormat="1" x14ac:dyDescent="0.35">
      <c r="A107" s="84"/>
      <c r="B107" s="84"/>
      <c r="C107" s="84"/>
      <c r="D107" s="84"/>
      <c r="E107" s="84"/>
      <c r="F107" s="86"/>
      <c r="G107" s="86"/>
      <c r="H107" s="86"/>
      <c r="I107" s="86"/>
      <c r="J107" s="84"/>
      <c r="K107" s="84"/>
      <c r="L107" s="84"/>
      <c r="M107" s="84"/>
      <c r="N107" s="84"/>
      <c r="O107" s="84"/>
    </row>
    <row r="108" spans="1:15" x14ac:dyDescent="0.35">
      <c r="F108" s="85"/>
      <c r="G108" s="85"/>
      <c r="H108" s="85"/>
      <c r="I108" s="85"/>
    </row>
    <row r="109" spans="1:15" x14ac:dyDescent="0.35">
      <c r="F109" s="85"/>
      <c r="G109" s="85"/>
      <c r="H109" s="85"/>
      <c r="I109" s="85"/>
    </row>
    <row r="110" spans="1:15" x14ac:dyDescent="0.35">
      <c r="F110" s="85"/>
      <c r="G110" s="85"/>
      <c r="H110" s="85"/>
      <c r="I110" s="85"/>
    </row>
    <row r="112" spans="1:15" x14ac:dyDescent="0.35">
      <c r="F112" s="85"/>
      <c r="G112" s="85"/>
      <c r="H112" s="85"/>
      <c r="I112" s="85"/>
    </row>
    <row r="113" spans="1:15" x14ac:dyDescent="0.35">
      <c r="F113" s="85"/>
      <c r="G113" s="85"/>
      <c r="H113" s="85"/>
      <c r="I113" s="85"/>
    </row>
    <row r="114" spans="1:15" x14ac:dyDescent="0.35">
      <c r="F114" s="85"/>
      <c r="G114" s="85"/>
      <c r="H114" s="85"/>
      <c r="I114" s="85"/>
    </row>
    <row r="115" spans="1:15" x14ac:dyDescent="0.35">
      <c r="F115" s="85"/>
      <c r="G115" s="85"/>
      <c r="H115" s="85"/>
      <c r="I115" s="85"/>
    </row>
    <row r="116" spans="1:15" x14ac:dyDescent="0.35">
      <c r="F116" s="85"/>
      <c r="G116" s="85"/>
      <c r="H116" s="85"/>
      <c r="I116" s="85"/>
    </row>
    <row r="118" spans="1:15" x14ac:dyDescent="0.35">
      <c r="F118" s="85"/>
      <c r="G118" s="85"/>
      <c r="H118" s="85"/>
      <c r="I118" s="85"/>
    </row>
    <row r="119" spans="1:15" x14ac:dyDescent="0.35">
      <c r="F119" s="85"/>
      <c r="G119" s="85"/>
      <c r="H119" s="85"/>
      <c r="I119" s="85"/>
    </row>
    <row r="120" spans="1:15" x14ac:dyDescent="0.35">
      <c r="F120" s="85"/>
      <c r="G120" s="85"/>
      <c r="H120" s="85"/>
      <c r="I120" s="85"/>
    </row>
    <row r="121" spans="1:15" x14ac:dyDescent="0.35">
      <c r="F121" s="85"/>
      <c r="G121" s="85"/>
      <c r="H121" s="85"/>
      <c r="I121" s="85"/>
    </row>
    <row r="122" spans="1:15" x14ac:dyDescent="0.35">
      <c r="F122" s="85"/>
      <c r="G122" s="85"/>
      <c r="H122" s="85"/>
      <c r="I122" s="85"/>
    </row>
    <row r="124" spans="1:15" s="6" customFormat="1" x14ac:dyDescent="0.35">
      <c r="A124" s="84"/>
      <c r="B124" s="84"/>
      <c r="C124" s="84"/>
      <c r="D124" s="84"/>
      <c r="E124" s="84"/>
      <c r="F124" s="86"/>
      <c r="G124" s="86"/>
      <c r="H124" s="86"/>
      <c r="I124" s="86"/>
      <c r="J124" s="84"/>
      <c r="K124" s="84"/>
      <c r="L124" s="84"/>
      <c r="M124" s="84"/>
      <c r="N124" s="84"/>
      <c r="O124" s="84"/>
    </row>
    <row r="125" spans="1:15" x14ac:dyDescent="0.35">
      <c r="F125" s="85"/>
      <c r="G125" s="85"/>
      <c r="H125" s="85"/>
      <c r="I125" s="85"/>
    </row>
    <row r="126" spans="1:15" x14ac:dyDescent="0.35">
      <c r="F126" s="85"/>
      <c r="G126" s="85"/>
      <c r="H126" s="85"/>
      <c r="I126" s="85"/>
    </row>
    <row r="127" spans="1:15" x14ac:dyDescent="0.35">
      <c r="F127" s="85"/>
      <c r="G127" s="85"/>
      <c r="H127" s="85"/>
      <c r="I127" s="85"/>
    </row>
    <row r="128" spans="1:15" x14ac:dyDescent="0.35">
      <c r="F128" s="85"/>
      <c r="G128" s="85"/>
      <c r="H128" s="85"/>
      <c r="I128" s="85"/>
    </row>
    <row r="130" spans="1:15" x14ac:dyDescent="0.35">
      <c r="F130" s="85"/>
      <c r="G130" s="85"/>
      <c r="H130" s="85"/>
      <c r="I130" s="85"/>
    </row>
    <row r="131" spans="1:15" x14ac:dyDescent="0.35">
      <c r="F131" s="85"/>
      <c r="G131" s="85"/>
      <c r="H131" s="85"/>
      <c r="I131" s="85"/>
    </row>
    <row r="132" spans="1:15" x14ac:dyDescent="0.35">
      <c r="F132" s="85"/>
      <c r="G132" s="85"/>
      <c r="H132" s="85"/>
      <c r="I132" s="85"/>
    </row>
    <row r="133" spans="1:15" x14ac:dyDescent="0.35">
      <c r="F133" s="85"/>
      <c r="G133" s="85"/>
      <c r="H133" s="85"/>
      <c r="I133" s="85"/>
    </row>
    <row r="134" spans="1:15" x14ac:dyDescent="0.35">
      <c r="F134" s="85"/>
      <c r="G134" s="85"/>
      <c r="H134" s="85"/>
      <c r="I134" s="85"/>
    </row>
    <row r="136" spans="1:15" x14ac:dyDescent="0.35">
      <c r="F136" s="85"/>
      <c r="G136" s="85"/>
      <c r="H136" s="85"/>
      <c r="I136" s="85"/>
    </row>
    <row r="137" spans="1:15" x14ac:dyDescent="0.35">
      <c r="F137" s="85"/>
      <c r="G137" s="85"/>
      <c r="H137" s="85"/>
      <c r="I137" s="85"/>
    </row>
    <row r="138" spans="1:15" x14ac:dyDescent="0.35">
      <c r="F138" s="85"/>
      <c r="G138" s="85"/>
      <c r="H138" s="85"/>
      <c r="I138" s="85"/>
    </row>
    <row r="139" spans="1:15" x14ac:dyDescent="0.35">
      <c r="F139" s="85"/>
      <c r="G139" s="85"/>
      <c r="H139" s="85"/>
      <c r="I139" s="85"/>
    </row>
    <row r="140" spans="1:15" x14ac:dyDescent="0.35">
      <c r="F140" s="85"/>
      <c r="G140" s="85"/>
      <c r="H140" s="85"/>
      <c r="I140" s="85"/>
    </row>
    <row r="141" spans="1:15" s="6" customFormat="1" x14ac:dyDescent="0.35">
      <c r="A141" s="84"/>
      <c r="B141" s="84"/>
      <c r="C141" s="84"/>
      <c r="D141" s="84"/>
      <c r="E141" s="84"/>
      <c r="F141" s="86"/>
      <c r="G141" s="86"/>
      <c r="H141" s="86"/>
      <c r="I141" s="86"/>
      <c r="J141" s="84"/>
      <c r="K141" s="84"/>
      <c r="L141" s="84"/>
      <c r="M141" s="84"/>
      <c r="N141" s="84"/>
      <c r="O141" s="84"/>
    </row>
    <row r="142" spans="1:15" x14ac:dyDescent="0.35">
      <c r="F142" s="85"/>
      <c r="G142" s="85"/>
      <c r="H142" s="85"/>
    </row>
    <row r="143" spans="1:15" x14ac:dyDescent="0.35">
      <c r="F143" s="85"/>
      <c r="G143" s="85"/>
      <c r="H143" s="85"/>
    </row>
    <row r="145" spans="1:15" x14ac:dyDescent="0.35">
      <c r="F145" s="85"/>
      <c r="G145" s="85"/>
      <c r="H145" s="85"/>
    </row>
    <row r="146" spans="1:15" x14ac:dyDescent="0.35">
      <c r="F146" s="85"/>
      <c r="G146" s="85"/>
      <c r="H146" s="85"/>
    </row>
    <row r="148" spans="1:15" x14ac:dyDescent="0.35">
      <c r="F148" s="85"/>
      <c r="G148" s="85"/>
      <c r="H148" s="85"/>
    </row>
    <row r="149" spans="1:15" x14ac:dyDescent="0.35">
      <c r="F149" s="85"/>
      <c r="G149" s="85"/>
      <c r="H149" s="85"/>
    </row>
    <row r="151" spans="1:15" x14ac:dyDescent="0.35">
      <c r="F151" s="85"/>
      <c r="G151" s="85"/>
      <c r="H151" s="85"/>
    </row>
    <row r="152" spans="1:15" x14ac:dyDescent="0.35">
      <c r="F152" s="85"/>
      <c r="G152" s="85"/>
      <c r="H152" s="85"/>
    </row>
    <row r="154" spans="1:15" x14ac:dyDescent="0.35">
      <c r="F154" s="85"/>
      <c r="G154" s="85"/>
      <c r="H154" s="85"/>
    </row>
    <row r="155" spans="1:15" x14ac:dyDescent="0.35">
      <c r="F155" s="85"/>
      <c r="G155" s="85"/>
      <c r="H155" s="85"/>
    </row>
    <row r="157" spans="1:15" x14ac:dyDescent="0.35">
      <c r="F157" s="85"/>
      <c r="G157" s="85"/>
      <c r="H157" s="85"/>
    </row>
    <row r="158" spans="1:15" s="6" customFormat="1" x14ac:dyDescent="0.35">
      <c r="A158" s="84"/>
      <c r="B158" s="84"/>
      <c r="C158" s="84"/>
      <c r="D158" s="84"/>
      <c r="E158" s="84"/>
      <c r="F158" s="86"/>
      <c r="G158" s="86"/>
      <c r="H158" s="86"/>
      <c r="I158" s="84"/>
      <c r="J158" s="84"/>
      <c r="K158" s="84"/>
      <c r="L158" s="84"/>
      <c r="M158" s="84"/>
      <c r="N158" s="84"/>
      <c r="O158" s="84"/>
    </row>
    <row r="160" spans="1:15" x14ac:dyDescent="0.35">
      <c r="F160" s="85"/>
      <c r="G160" s="85"/>
      <c r="H160" s="85"/>
    </row>
    <row r="161" spans="6:8" x14ac:dyDescent="0.35">
      <c r="F161" s="85"/>
      <c r="G161" s="85"/>
      <c r="H161" s="85"/>
    </row>
    <row r="163" spans="6:8" x14ac:dyDescent="0.35">
      <c r="F163" s="85"/>
      <c r="G163" s="85"/>
      <c r="H163" s="85"/>
    </row>
    <row r="164" spans="6:8" x14ac:dyDescent="0.35">
      <c r="F164" s="85"/>
      <c r="G164" s="85"/>
      <c r="H164" s="85"/>
    </row>
    <row r="166" spans="6:8" x14ac:dyDescent="0.35">
      <c r="F166" s="85"/>
      <c r="G166" s="85"/>
      <c r="H166" s="85"/>
    </row>
    <row r="167" spans="6:8" x14ac:dyDescent="0.35">
      <c r="F167" s="85"/>
      <c r="G167" s="85"/>
      <c r="H167" s="85"/>
    </row>
    <row r="169" spans="6:8" x14ac:dyDescent="0.35">
      <c r="F169" s="85"/>
      <c r="G169" s="85"/>
      <c r="H169" s="85"/>
    </row>
    <row r="170" spans="6:8" x14ac:dyDescent="0.35">
      <c r="F170" s="85"/>
      <c r="G170" s="85"/>
      <c r="H170" s="85"/>
    </row>
    <row r="172" spans="6:8" x14ac:dyDescent="0.35">
      <c r="F172" s="85"/>
      <c r="G172" s="85"/>
      <c r="H172" s="85"/>
    </row>
    <row r="173" spans="6:8" x14ac:dyDescent="0.35">
      <c r="F173" s="85"/>
      <c r="G173" s="85"/>
      <c r="H173" s="85"/>
    </row>
    <row r="175" spans="6:8" x14ac:dyDescent="0.35">
      <c r="F175" s="85"/>
      <c r="G175" s="85"/>
      <c r="H175" s="85"/>
    </row>
    <row r="176" spans="6:8" x14ac:dyDescent="0.35">
      <c r="F176" s="85"/>
      <c r="G176" s="85"/>
      <c r="H176" s="85"/>
    </row>
    <row r="178" spans="6:8" x14ac:dyDescent="0.35">
      <c r="F178" s="85"/>
      <c r="G178" s="85"/>
      <c r="H178" s="85"/>
    </row>
    <row r="179" spans="6:8" x14ac:dyDescent="0.35">
      <c r="F179" s="85"/>
      <c r="G179" s="85"/>
      <c r="H179" s="85"/>
    </row>
    <row r="181" spans="6:8" x14ac:dyDescent="0.35">
      <c r="F181" s="85"/>
      <c r="G181" s="85"/>
      <c r="H181" s="85"/>
    </row>
    <row r="182" spans="6:8" x14ac:dyDescent="0.35">
      <c r="F182" s="85"/>
      <c r="G182" s="85"/>
      <c r="H182" s="85"/>
    </row>
    <row r="184" spans="6:8" x14ac:dyDescent="0.35">
      <c r="F184" s="85"/>
      <c r="G184" s="85"/>
      <c r="H184" s="85"/>
    </row>
    <row r="185" spans="6:8" x14ac:dyDescent="0.35">
      <c r="F185" s="85"/>
      <c r="G185" s="85"/>
      <c r="H185" s="85"/>
    </row>
    <row r="187" spans="6:8" x14ac:dyDescent="0.35">
      <c r="F187" s="85"/>
      <c r="G187" s="85"/>
      <c r="H187" s="85"/>
    </row>
    <row r="188" spans="6:8" x14ac:dyDescent="0.35">
      <c r="F188" s="85"/>
      <c r="G188" s="85"/>
      <c r="H188" s="85"/>
    </row>
    <row r="190" spans="6:8" x14ac:dyDescent="0.35">
      <c r="F190" s="85"/>
      <c r="G190" s="85"/>
      <c r="H190" s="85"/>
    </row>
    <row r="191" spans="6:8" x14ac:dyDescent="0.35">
      <c r="F191" s="85"/>
      <c r="G191" s="85"/>
      <c r="H191" s="85"/>
    </row>
    <row r="193" spans="6:8" x14ac:dyDescent="0.35">
      <c r="F193" s="85"/>
      <c r="G193" s="85"/>
      <c r="H193" s="85"/>
    </row>
    <row r="194" spans="6:8" x14ac:dyDescent="0.35">
      <c r="F194" s="85"/>
      <c r="G194" s="85"/>
      <c r="H194" s="85"/>
    </row>
    <row r="196" spans="6:8" x14ac:dyDescent="0.35">
      <c r="F196" s="85"/>
      <c r="G196" s="85"/>
      <c r="H196" s="85"/>
    </row>
    <row r="197" spans="6:8" x14ac:dyDescent="0.35">
      <c r="F197" s="85"/>
      <c r="G197" s="85"/>
      <c r="H197" s="85"/>
    </row>
    <row r="199" spans="6:8" x14ac:dyDescent="0.35">
      <c r="F199" s="85"/>
      <c r="G199" s="85"/>
      <c r="H199" s="85"/>
    </row>
    <row r="200" spans="6:8" x14ac:dyDescent="0.35">
      <c r="F200" s="85"/>
      <c r="G200" s="85"/>
      <c r="H200" s="85"/>
    </row>
    <row r="202" spans="6:8" x14ac:dyDescent="0.35">
      <c r="F202" s="85"/>
      <c r="G202" s="85"/>
      <c r="H202" s="85"/>
    </row>
    <row r="203" spans="6:8" x14ac:dyDescent="0.35">
      <c r="F203" s="85"/>
      <c r="G203" s="85"/>
      <c r="H203" s="85"/>
    </row>
    <row r="205" spans="6:8" x14ac:dyDescent="0.35">
      <c r="F205" s="85"/>
      <c r="G205" s="85"/>
      <c r="H205" s="85"/>
    </row>
    <row r="206" spans="6:8" x14ac:dyDescent="0.35">
      <c r="F206" s="85"/>
      <c r="G206" s="85"/>
      <c r="H206" s="85"/>
    </row>
    <row r="208" spans="6:8" x14ac:dyDescent="0.35">
      <c r="F208" s="85"/>
      <c r="G208" s="85"/>
      <c r="H208" s="85"/>
    </row>
    <row r="209" spans="6:8" x14ac:dyDescent="0.35">
      <c r="F209" s="85"/>
      <c r="G209" s="85"/>
      <c r="H209" s="85"/>
    </row>
    <row r="211" spans="6:8" x14ac:dyDescent="0.35">
      <c r="F211" s="85"/>
      <c r="G211" s="85"/>
      <c r="H211" s="85"/>
    </row>
    <row r="212" spans="6:8" x14ac:dyDescent="0.35">
      <c r="F212" s="85"/>
      <c r="G212" s="85"/>
      <c r="H212" s="85"/>
    </row>
    <row r="214" spans="6:8" x14ac:dyDescent="0.35">
      <c r="F214" s="85"/>
      <c r="G214" s="85"/>
      <c r="H214" s="85"/>
    </row>
    <row r="215" spans="6:8" x14ac:dyDescent="0.35">
      <c r="F215" s="85"/>
      <c r="G215" s="85"/>
      <c r="H215" s="85"/>
    </row>
    <row r="217" spans="6:8" x14ac:dyDescent="0.35">
      <c r="F217" s="85"/>
      <c r="G217" s="85"/>
      <c r="H217" s="85"/>
    </row>
    <row r="218" spans="6:8" x14ac:dyDescent="0.35">
      <c r="F218" s="85"/>
      <c r="G218" s="85"/>
      <c r="H218" s="85"/>
    </row>
    <row r="220" spans="6:8" x14ac:dyDescent="0.35">
      <c r="F220" s="85"/>
      <c r="G220" s="85"/>
      <c r="H220" s="85"/>
    </row>
    <row r="221" spans="6:8" x14ac:dyDescent="0.35">
      <c r="F221" s="85"/>
      <c r="G221" s="85"/>
      <c r="H221" s="85"/>
    </row>
    <row r="223" spans="6:8" x14ac:dyDescent="0.35">
      <c r="F223" s="85"/>
      <c r="G223" s="85"/>
      <c r="H223" s="85"/>
    </row>
    <row r="224" spans="6:8" x14ac:dyDescent="0.35">
      <c r="F224" s="85"/>
      <c r="G224" s="85"/>
      <c r="H224" s="85"/>
    </row>
    <row r="226" spans="6:8" x14ac:dyDescent="0.35">
      <c r="F226" s="85"/>
      <c r="G226" s="85"/>
      <c r="H226" s="85"/>
    </row>
    <row r="227" spans="6:8" x14ac:dyDescent="0.35">
      <c r="F227" s="85"/>
      <c r="G227" s="85"/>
      <c r="H227" s="85"/>
    </row>
    <row r="229" spans="6:8" x14ac:dyDescent="0.35">
      <c r="F229" s="85"/>
      <c r="G229" s="85"/>
      <c r="H229" s="85"/>
    </row>
    <row r="230" spans="6:8" x14ac:dyDescent="0.35">
      <c r="F230" s="85"/>
      <c r="G230" s="85"/>
      <c r="H230" s="85"/>
    </row>
    <row r="232" spans="6:8" x14ac:dyDescent="0.35">
      <c r="F232" s="85"/>
      <c r="G232" s="85"/>
      <c r="H232" s="85"/>
    </row>
    <row r="233" spans="6:8" x14ac:dyDescent="0.35">
      <c r="F233" s="85"/>
      <c r="G233" s="85"/>
      <c r="H233" s="85"/>
    </row>
    <row r="235" spans="6:8" x14ac:dyDescent="0.35">
      <c r="F235" s="85"/>
      <c r="G235" s="85"/>
      <c r="H235" s="85"/>
    </row>
    <row r="236" spans="6:8" x14ac:dyDescent="0.35">
      <c r="F236" s="85"/>
      <c r="G236" s="85"/>
      <c r="H236" s="85"/>
    </row>
    <row r="238" spans="6:8" x14ac:dyDescent="0.35">
      <c r="F238" s="85"/>
      <c r="G238" s="85"/>
      <c r="H238" s="85"/>
    </row>
    <row r="239" spans="6:8" x14ac:dyDescent="0.35">
      <c r="F239" s="85"/>
      <c r="G239" s="85"/>
      <c r="H239" s="85"/>
    </row>
    <row r="241" spans="6:8" x14ac:dyDescent="0.35">
      <c r="F241" s="85"/>
      <c r="G241" s="85"/>
      <c r="H241" s="85"/>
    </row>
    <row r="242" spans="6:8" x14ac:dyDescent="0.35">
      <c r="F242" s="85"/>
      <c r="G242" s="85"/>
      <c r="H242" s="85"/>
    </row>
    <row r="244" spans="6:8" x14ac:dyDescent="0.35">
      <c r="F244" s="85"/>
      <c r="G244" s="85"/>
      <c r="H244" s="85"/>
    </row>
    <row r="245" spans="6:8" x14ac:dyDescent="0.35">
      <c r="F245" s="85"/>
      <c r="G245" s="85"/>
      <c r="H245" s="85"/>
    </row>
    <row r="247" spans="6:8" x14ac:dyDescent="0.35">
      <c r="F247" s="85"/>
      <c r="G247" s="85"/>
      <c r="H247" s="85"/>
    </row>
    <row r="248" spans="6:8" x14ac:dyDescent="0.35">
      <c r="F248" s="85"/>
      <c r="G248" s="85"/>
      <c r="H248" s="85"/>
    </row>
    <row r="250" spans="6:8" x14ac:dyDescent="0.35">
      <c r="F250" s="85"/>
      <c r="G250" s="85"/>
      <c r="H250" s="85"/>
    </row>
    <row r="251" spans="6:8" x14ac:dyDescent="0.35">
      <c r="F251" s="85"/>
      <c r="G251" s="85"/>
      <c r="H251" s="85"/>
    </row>
    <row r="253" spans="6:8" x14ac:dyDescent="0.35">
      <c r="F253" s="85"/>
      <c r="G253" s="85"/>
      <c r="H253" s="85"/>
    </row>
    <row r="254" spans="6:8" x14ac:dyDescent="0.35">
      <c r="F254" s="85"/>
      <c r="G254" s="85"/>
      <c r="H254" s="85"/>
    </row>
    <row r="256" spans="6:8" x14ac:dyDescent="0.35">
      <c r="F256" s="85"/>
      <c r="G256" s="85"/>
      <c r="H256" s="85"/>
    </row>
    <row r="257" spans="6:8" x14ac:dyDescent="0.35">
      <c r="F257" s="85"/>
      <c r="G257" s="85"/>
      <c r="H257" s="85"/>
    </row>
    <row r="259" spans="6:8" x14ac:dyDescent="0.35">
      <c r="F259" s="85"/>
      <c r="G259" s="85"/>
      <c r="H259" s="85"/>
    </row>
    <row r="260" spans="6:8" x14ac:dyDescent="0.35">
      <c r="F260" s="85"/>
      <c r="G260" s="85"/>
      <c r="H260" s="85"/>
    </row>
    <row r="262" spans="6:8" x14ac:dyDescent="0.35">
      <c r="F262" s="85"/>
      <c r="G262" s="85"/>
      <c r="H262" s="85"/>
    </row>
    <row r="263" spans="6:8" x14ac:dyDescent="0.35">
      <c r="F263" s="85"/>
      <c r="G263" s="85"/>
      <c r="H263" s="85"/>
    </row>
    <row r="265" spans="6:8" x14ac:dyDescent="0.35">
      <c r="F265" s="85"/>
      <c r="G265" s="85"/>
      <c r="H265" s="85"/>
    </row>
    <row r="266" spans="6:8" x14ac:dyDescent="0.35">
      <c r="F266" s="85"/>
      <c r="G266" s="85"/>
      <c r="H266" s="85"/>
    </row>
    <row r="268" spans="6:8" x14ac:dyDescent="0.35">
      <c r="F268" s="85"/>
      <c r="G268" s="85"/>
      <c r="H268" s="85"/>
    </row>
    <row r="269" spans="6:8" x14ac:dyDescent="0.35">
      <c r="F269" s="85"/>
      <c r="G269" s="85"/>
      <c r="H269" s="85"/>
    </row>
    <row r="271" spans="6:8" x14ac:dyDescent="0.35">
      <c r="F271" s="85"/>
      <c r="G271" s="85"/>
      <c r="H271" s="85"/>
    </row>
    <row r="272" spans="6:8" x14ac:dyDescent="0.35">
      <c r="F272" s="85"/>
      <c r="G272" s="85"/>
      <c r="H272" s="85"/>
    </row>
    <row r="274" spans="6:8" x14ac:dyDescent="0.35">
      <c r="F274" s="85"/>
      <c r="G274" s="85"/>
      <c r="H274" s="85"/>
    </row>
    <row r="275" spans="6:8" x14ac:dyDescent="0.35">
      <c r="F275" s="85"/>
      <c r="G275" s="85"/>
      <c r="H275" s="85"/>
    </row>
    <row r="277" spans="6:8" x14ac:dyDescent="0.35">
      <c r="F277" s="85"/>
      <c r="G277" s="85"/>
      <c r="H277" s="85"/>
    </row>
    <row r="278" spans="6:8" x14ac:dyDescent="0.35">
      <c r="F278" s="85"/>
      <c r="G278" s="85"/>
      <c r="H278" s="85"/>
    </row>
    <row r="280" spans="6:8" x14ac:dyDescent="0.35">
      <c r="F280" s="85"/>
      <c r="G280" s="85"/>
      <c r="H280" s="85"/>
    </row>
    <row r="281" spans="6:8" x14ac:dyDescent="0.35">
      <c r="F281" s="85"/>
      <c r="G281" s="85"/>
      <c r="H281" s="85"/>
    </row>
    <row r="283" spans="6:8" x14ac:dyDescent="0.35">
      <c r="F283" s="85"/>
      <c r="G283" s="85"/>
      <c r="H283" s="85"/>
    </row>
    <row r="284" spans="6:8" x14ac:dyDescent="0.35">
      <c r="F284" s="85"/>
      <c r="G284" s="85"/>
      <c r="H284" s="85"/>
    </row>
    <row r="286" spans="6:8" x14ac:dyDescent="0.35">
      <c r="F286" s="85"/>
      <c r="G286" s="85"/>
      <c r="H286" s="85"/>
    </row>
    <row r="287" spans="6:8" x14ac:dyDescent="0.35">
      <c r="F287" s="85"/>
      <c r="G287" s="85"/>
      <c r="H287" s="85"/>
    </row>
    <row r="289" spans="6:8" x14ac:dyDescent="0.35">
      <c r="F289" s="85"/>
      <c r="G289" s="85"/>
      <c r="H289" s="85"/>
    </row>
    <row r="290" spans="6:8" x14ac:dyDescent="0.35">
      <c r="F290" s="85"/>
      <c r="G290" s="85"/>
      <c r="H290" s="85"/>
    </row>
    <row r="292" spans="6:8" x14ac:dyDescent="0.35">
      <c r="F292" s="85"/>
      <c r="G292" s="85"/>
      <c r="H292" s="85"/>
    </row>
    <row r="293" spans="6:8" x14ac:dyDescent="0.35">
      <c r="F293" s="85"/>
      <c r="G293" s="85"/>
      <c r="H293" s="85"/>
    </row>
    <row r="295" spans="6:8" x14ac:dyDescent="0.35">
      <c r="F295" s="85"/>
      <c r="G295" s="85"/>
      <c r="H295" s="85"/>
    </row>
    <row r="296" spans="6:8" x14ac:dyDescent="0.35">
      <c r="F296" s="85"/>
      <c r="G296" s="85"/>
      <c r="H296" s="85"/>
    </row>
    <row r="298" spans="6:8" x14ac:dyDescent="0.35">
      <c r="F298" s="85"/>
      <c r="G298" s="85"/>
      <c r="H298" s="85"/>
    </row>
    <row r="299" spans="6:8" x14ac:dyDescent="0.35">
      <c r="F299" s="85"/>
      <c r="G299" s="85"/>
      <c r="H299" s="85"/>
    </row>
    <row r="301" spans="6:8" x14ac:dyDescent="0.35">
      <c r="F301" s="85"/>
      <c r="G301" s="85"/>
      <c r="H301" s="85"/>
    </row>
    <row r="302" spans="6:8" x14ac:dyDescent="0.35">
      <c r="F302" s="85"/>
      <c r="G302" s="85"/>
      <c r="H302" s="85"/>
    </row>
    <row r="304" spans="6:8" x14ac:dyDescent="0.35">
      <c r="F304" s="85"/>
      <c r="G304" s="85"/>
      <c r="H304" s="85"/>
    </row>
    <row r="305" spans="6:8" x14ac:dyDescent="0.35">
      <c r="F305" s="85"/>
      <c r="G305" s="85"/>
      <c r="H305" s="85"/>
    </row>
    <row r="307" spans="6:8" x14ac:dyDescent="0.35">
      <c r="F307" s="85"/>
      <c r="G307" s="85"/>
      <c r="H307" s="85"/>
    </row>
    <row r="308" spans="6:8" x14ac:dyDescent="0.35">
      <c r="F308" s="85"/>
      <c r="G308" s="85"/>
      <c r="H308" s="85"/>
    </row>
    <row r="310" spans="6:8" x14ac:dyDescent="0.35">
      <c r="F310" s="85"/>
      <c r="G310" s="85"/>
      <c r="H310" s="85"/>
    </row>
    <row r="311" spans="6:8" x14ac:dyDescent="0.35">
      <c r="F311" s="85"/>
      <c r="G311" s="85"/>
      <c r="H311" s="85"/>
    </row>
    <row r="313" spans="6:8" x14ac:dyDescent="0.35">
      <c r="F313" s="85"/>
      <c r="G313" s="85"/>
      <c r="H313" s="85"/>
    </row>
    <row r="314" spans="6:8" x14ac:dyDescent="0.35">
      <c r="F314" s="85"/>
      <c r="G314" s="85"/>
      <c r="H314" s="85"/>
    </row>
    <row r="316" spans="6:8" x14ac:dyDescent="0.35">
      <c r="F316" s="85"/>
      <c r="G316" s="85"/>
      <c r="H316" s="85"/>
    </row>
    <row r="317" spans="6:8" x14ac:dyDescent="0.35">
      <c r="F317" s="85"/>
      <c r="G317" s="85"/>
      <c r="H317" s="85"/>
    </row>
    <row r="319" spans="6:8" x14ac:dyDescent="0.35">
      <c r="F319" s="85"/>
      <c r="G319" s="85"/>
      <c r="H319" s="85"/>
    </row>
    <row r="320" spans="6:8" x14ac:dyDescent="0.35">
      <c r="F320" s="85"/>
      <c r="G320" s="85"/>
      <c r="H320" s="85"/>
    </row>
    <row r="322" spans="6:8" x14ac:dyDescent="0.35">
      <c r="F322" s="85"/>
      <c r="G322" s="85"/>
      <c r="H322" s="85"/>
    </row>
    <row r="323" spans="6:8" x14ac:dyDescent="0.35">
      <c r="F323" s="85"/>
      <c r="G323" s="85"/>
      <c r="H323" s="85"/>
    </row>
    <row r="325" spans="6:8" x14ac:dyDescent="0.35">
      <c r="F325" s="85"/>
      <c r="G325" s="85"/>
      <c r="H325" s="85"/>
    </row>
    <row r="326" spans="6:8" x14ac:dyDescent="0.35">
      <c r="F326" s="85"/>
      <c r="G326" s="85"/>
      <c r="H326" s="85"/>
    </row>
    <row r="328" spans="6:8" x14ac:dyDescent="0.35">
      <c r="F328" s="85"/>
      <c r="G328" s="85"/>
      <c r="H328" s="85"/>
    </row>
    <row r="329" spans="6:8" x14ac:dyDescent="0.35">
      <c r="F329" s="85"/>
      <c r="G329" s="85"/>
      <c r="H329" s="85"/>
    </row>
    <row r="331" spans="6:8" x14ac:dyDescent="0.35">
      <c r="F331" s="85"/>
      <c r="G331" s="85"/>
      <c r="H331" s="85"/>
    </row>
    <row r="332" spans="6:8" x14ac:dyDescent="0.35">
      <c r="F332" s="85"/>
      <c r="G332" s="85"/>
      <c r="H332" s="85"/>
    </row>
    <row r="334" spans="6:8" x14ac:dyDescent="0.35">
      <c r="F334" s="85"/>
      <c r="G334" s="85"/>
      <c r="H334" s="85"/>
    </row>
    <row r="335" spans="6:8" x14ac:dyDescent="0.35">
      <c r="F335" s="85"/>
      <c r="G335" s="85"/>
      <c r="H335" s="85"/>
    </row>
    <row r="337" spans="6:8" x14ac:dyDescent="0.35">
      <c r="F337" s="85"/>
      <c r="G337" s="85"/>
      <c r="H337" s="85"/>
    </row>
    <row r="338" spans="6:8" x14ac:dyDescent="0.35">
      <c r="F338" s="85"/>
      <c r="G338" s="85"/>
      <c r="H338" s="85"/>
    </row>
    <row r="340" spans="6:8" x14ac:dyDescent="0.35">
      <c r="F340" s="85"/>
      <c r="G340" s="85"/>
      <c r="H340" s="85"/>
    </row>
    <row r="341" spans="6:8" x14ac:dyDescent="0.35">
      <c r="F341" s="85"/>
      <c r="G341" s="85"/>
      <c r="H341" s="85"/>
    </row>
    <row r="343" spans="6:8" x14ac:dyDescent="0.35">
      <c r="F343" s="85"/>
      <c r="G343" s="85"/>
      <c r="H343" s="85"/>
    </row>
    <row r="344" spans="6:8" x14ac:dyDescent="0.35">
      <c r="F344" s="85"/>
      <c r="G344" s="85"/>
      <c r="H344" s="85"/>
    </row>
    <row r="346" spans="6:8" x14ac:dyDescent="0.35">
      <c r="F346" s="85"/>
      <c r="G346" s="85"/>
      <c r="H346" s="85"/>
    </row>
    <row r="347" spans="6:8" x14ac:dyDescent="0.35">
      <c r="F347" s="85"/>
      <c r="G347" s="85"/>
      <c r="H347" s="85"/>
    </row>
    <row r="349" spans="6:8" x14ac:dyDescent="0.35">
      <c r="F349" s="85"/>
      <c r="G349" s="85"/>
      <c r="H349" s="85"/>
    </row>
    <row r="350" spans="6:8" x14ac:dyDescent="0.35">
      <c r="F350" s="85"/>
      <c r="G350" s="85"/>
      <c r="H350" s="85"/>
    </row>
    <row r="352" spans="6:8" x14ac:dyDescent="0.35">
      <c r="F352" s="85"/>
      <c r="G352" s="85"/>
      <c r="H352" s="85"/>
    </row>
    <row r="353" spans="6:8" x14ac:dyDescent="0.35">
      <c r="F353" s="85"/>
      <c r="G353" s="85"/>
      <c r="H353" s="85"/>
    </row>
    <row r="355" spans="6:8" x14ac:dyDescent="0.35">
      <c r="F355" s="85"/>
      <c r="G355" s="85"/>
      <c r="H355" s="85"/>
    </row>
    <row r="356" spans="6:8" x14ac:dyDescent="0.35">
      <c r="F356" s="85"/>
      <c r="G356" s="85"/>
      <c r="H356" s="85"/>
    </row>
    <row r="358" spans="6:8" x14ac:dyDescent="0.35">
      <c r="F358" s="85"/>
      <c r="G358" s="85"/>
      <c r="H358" s="85"/>
    </row>
    <row r="359" spans="6:8" x14ac:dyDescent="0.35">
      <c r="F359" s="85"/>
      <c r="G359" s="85"/>
      <c r="H359" s="85"/>
    </row>
    <row r="361" spans="6:8" x14ac:dyDescent="0.35">
      <c r="F361" s="85"/>
      <c r="G361" s="85"/>
      <c r="H361" s="85"/>
    </row>
    <row r="362" spans="6:8" x14ac:dyDescent="0.35">
      <c r="F362" s="85"/>
      <c r="G362" s="85"/>
      <c r="H362" s="85"/>
    </row>
    <row r="364" spans="6:8" x14ac:dyDescent="0.35">
      <c r="F364" s="85"/>
      <c r="G364" s="85"/>
      <c r="H364" s="85"/>
    </row>
    <row r="365" spans="6:8" x14ac:dyDescent="0.35">
      <c r="F365" s="85"/>
      <c r="G365" s="85"/>
      <c r="H365" s="85"/>
    </row>
    <row r="367" spans="6:8" x14ac:dyDescent="0.35">
      <c r="F367" s="85"/>
      <c r="G367" s="85"/>
      <c r="H367" s="85"/>
    </row>
    <row r="368" spans="6:8" x14ac:dyDescent="0.35">
      <c r="F368" s="85"/>
      <c r="G368" s="85"/>
      <c r="H368" s="85"/>
    </row>
    <row r="370" spans="6:8" x14ac:dyDescent="0.35">
      <c r="F370" s="85"/>
      <c r="G370" s="85"/>
      <c r="H370" s="85"/>
    </row>
    <row r="371" spans="6:8" x14ac:dyDescent="0.35">
      <c r="F371" s="85"/>
      <c r="G371" s="85"/>
      <c r="H371" s="85"/>
    </row>
    <row r="373" spans="6:8" x14ac:dyDescent="0.35">
      <c r="F373" s="85"/>
      <c r="G373" s="85"/>
      <c r="H373" s="85"/>
    </row>
    <row r="374" spans="6:8" x14ac:dyDescent="0.35">
      <c r="F374" s="85"/>
      <c r="G374" s="85"/>
      <c r="H374" s="85"/>
    </row>
    <row r="376" spans="6:8" x14ac:dyDescent="0.35">
      <c r="F376" s="85"/>
      <c r="G376" s="85"/>
      <c r="H376" s="85"/>
    </row>
    <row r="377" spans="6:8" x14ac:dyDescent="0.35">
      <c r="F377" s="85"/>
      <c r="G377" s="85"/>
      <c r="H377" s="85"/>
    </row>
    <row r="379" spans="6:8" x14ac:dyDescent="0.35">
      <c r="F379" s="85"/>
      <c r="G379" s="85"/>
      <c r="H379" s="85"/>
    </row>
    <row r="380" spans="6:8" x14ac:dyDescent="0.35">
      <c r="F380" s="85"/>
      <c r="G380" s="85"/>
      <c r="H380" s="85"/>
    </row>
    <row r="382" spans="6:8" x14ac:dyDescent="0.35">
      <c r="F382" s="85"/>
      <c r="G382" s="85"/>
      <c r="H382" s="85"/>
    </row>
    <row r="383" spans="6:8" x14ac:dyDescent="0.35">
      <c r="F383" s="85"/>
      <c r="G383" s="85"/>
      <c r="H383" s="85"/>
    </row>
    <row r="385" spans="6:8" x14ac:dyDescent="0.35">
      <c r="F385" s="85"/>
      <c r="G385" s="85"/>
      <c r="H385" s="85"/>
    </row>
    <row r="386" spans="6:8" x14ac:dyDescent="0.35">
      <c r="F386" s="85"/>
      <c r="G386" s="85"/>
      <c r="H386" s="85"/>
    </row>
    <row r="388" spans="6:8" x14ac:dyDescent="0.35">
      <c r="F388" s="85"/>
      <c r="G388" s="85"/>
      <c r="H388" s="85"/>
    </row>
    <row r="389" spans="6:8" x14ac:dyDescent="0.35">
      <c r="F389" s="85"/>
      <c r="G389" s="85"/>
      <c r="H389" s="85"/>
    </row>
    <row r="391" spans="6:8" x14ac:dyDescent="0.35">
      <c r="F391" s="85"/>
      <c r="G391" s="85"/>
      <c r="H391" s="85"/>
    </row>
    <row r="392" spans="6:8" x14ac:dyDescent="0.35">
      <c r="F392" s="85"/>
      <c r="G392" s="85"/>
      <c r="H392" s="85"/>
    </row>
    <row r="394" spans="6:8" x14ac:dyDescent="0.35">
      <c r="F394" s="85"/>
      <c r="G394" s="85"/>
      <c r="H394" s="85"/>
    </row>
    <row r="395" spans="6:8" x14ac:dyDescent="0.35">
      <c r="F395" s="85"/>
      <c r="G395" s="85"/>
      <c r="H395" s="85"/>
    </row>
    <row r="397" spans="6:8" x14ac:dyDescent="0.35">
      <c r="F397" s="85"/>
      <c r="G397" s="85"/>
      <c r="H397" s="85"/>
    </row>
    <row r="398" spans="6:8" x14ac:dyDescent="0.35">
      <c r="F398" s="85"/>
      <c r="G398" s="85"/>
      <c r="H398" s="85"/>
    </row>
    <row r="400" spans="6:8" x14ac:dyDescent="0.35">
      <c r="F400" s="85"/>
      <c r="G400" s="85"/>
      <c r="H400" s="85"/>
    </row>
    <row r="401" spans="6:8" x14ac:dyDescent="0.35">
      <c r="F401" s="85"/>
      <c r="G401" s="85"/>
      <c r="H401" s="85"/>
    </row>
    <row r="403" spans="6:8" x14ac:dyDescent="0.35">
      <c r="F403" s="85"/>
      <c r="G403" s="85"/>
      <c r="H403" s="85"/>
    </row>
    <row r="404" spans="6:8" x14ac:dyDescent="0.35">
      <c r="F404" s="85"/>
      <c r="G404" s="85"/>
      <c r="H404" s="85"/>
    </row>
    <row r="406" spans="6:8" x14ac:dyDescent="0.35">
      <c r="F406" s="85"/>
      <c r="G406" s="85"/>
      <c r="H406" s="85"/>
    </row>
    <row r="407" spans="6:8" x14ac:dyDescent="0.35">
      <c r="F407" s="85"/>
      <c r="G407" s="85"/>
      <c r="H407" s="85"/>
    </row>
    <row r="409" spans="6:8" x14ac:dyDescent="0.35">
      <c r="F409" s="85"/>
      <c r="G409" s="85"/>
      <c r="H409" s="85"/>
    </row>
    <row r="410" spans="6:8" x14ac:dyDescent="0.35">
      <c r="F410" s="85"/>
      <c r="G410" s="85"/>
      <c r="H410" s="85"/>
    </row>
    <row r="412" spans="6:8" x14ac:dyDescent="0.35">
      <c r="F412" s="85"/>
      <c r="G412" s="85"/>
      <c r="H412" s="85"/>
    </row>
    <row r="413" spans="6:8" x14ac:dyDescent="0.35">
      <c r="F413" s="85"/>
      <c r="G413" s="85"/>
      <c r="H413" s="85"/>
    </row>
    <row r="415" spans="6:8" x14ac:dyDescent="0.35">
      <c r="F415" s="85"/>
      <c r="G415" s="85"/>
      <c r="H415" s="85"/>
    </row>
    <row r="416" spans="6:8" x14ac:dyDescent="0.35">
      <c r="F416" s="85"/>
      <c r="G416" s="85"/>
      <c r="H416" s="85"/>
    </row>
    <row r="418" spans="6:8" x14ac:dyDescent="0.35">
      <c r="F418" s="85"/>
      <c r="G418" s="85"/>
      <c r="H418" s="85"/>
    </row>
    <row r="419" spans="6:8" x14ac:dyDescent="0.35">
      <c r="F419" s="85"/>
      <c r="G419" s="85"/>
      <c r="H419" s="85"/>
    </row>
    <row r="421" spans="6:8" x14ac:dyDescent="0.35">
      <c r="F421" s="85"/>
      <c r="G421" s="85"/>
      <c r="H421" s="85"/>
    </row>
    <row r="422" spans="6:8" x14ac:dyDescent="0.35">
      <c r="F422" s="85"/>
      <c r="G422" s="85"/>
      <c r="H422" s="85"/>
    </row>
    <row r="424" spans="6:8" x14ac:dyDescent="0.35">
      <c r="F424" s="85"/>
      <c r="G424" s="85"/>
      <c r="H424" s="85"/>
    </row>
    <row r="425" spans="6:8" x14ac:dyDescent="0.35">
      <c r="F425" s="85"/>
      <c r="G425" s="85"/>
      <c r="H425" s="85"/>
    </row>
    <row r="427" spans="6:8" x14ac:dyDescent="0.35">
      <c r="F427" s="85"/>
      <c r="G427" s="85"/>
      <c r="H427" s="85"/>
    </row>
    <row r="428" spans="6:8" x14ac:dyDescent="0.35">
      <c r="F428" s="85"/>
      <c r="G428" s="85"/>
      <c r="H428" s="85"/>
    </row>
    <row r="430" spans="6:8" x14ac:dyDescent="0.35">
      <c r="F430" s="85"/>
      <c r="G430" s="85"/>
      <c r="H430" s="85"/>
    </row>
    <row r="431" spans="6:8" x14ac:dyDescent="0.35">
      <c r="F431" s="85"/>
      <c r="G431" s="85"/>
      <c r="H431" s="85"/>
    </row>
    <row r="433" spans="6:8" x14ac:dyDescent="0.35">
      <c r="F433" s="85"/>
      <c r="G433" s="85"/>
      <c r="H433" s="85"/>
    </row>
    <row r="434" spans="6:8" x14ac:dyDescent="0.35">
      <c r="F434" s="85"/>
      <c r="G434" s="85"/>
      <c r="H434" s="85"/>
    </row>
    <row r="436" spans="6:8" x14ac:dyDescent="0.35">
      <c r="F436" s="85"/>
      <c r="G436" s="85"/>
      <c r="H436" s="85"/>
    </row>
    <row r="437" spans="6:8" x14ac:dyDescent="0.35">
      <c r="F437" s="85"/>
      <c r="G437" s="85"/>
      <c r="H437" s="85"/>
    </row>
    <row r="439" spans="6:8" x14ac:dyDescent="0.35">
      <c r="F439" s="85"/>
      <c r="G439" s="85"/>
      <c r="H439" s="85"/>
    </row>
    <row r="440" spans="6:8" x14ac:dyDescent="0.35">
      <c r="F440" s="85"/>
      <c r="G440" s="85"/>
      <c r="H440" s="85"/>
    </row>
    <row r="442" spans="6:8" x14ac:dyDescent="0.35">
      <c r="F442" s="85"/>
      <c r="G442" s="85"/>
      <c r="H442" s="85"/>
    </row>
    <row r="443" spans="6:8" x14ac:dyDescent="0.35">
      <c r="F443" s="85"/>
      <c r="G443" s="85"/>
      <c r="H443" s="85"/>
    </row>
    <row r="445" spans="6:8" x14ac:dyDescent="0.35">
      <c r="F445" s="85"/>
      <c r="G445" s="85"/>
      <c r="H445" s="85"/>
    </row>
    <row r="446" spans="6:8" x14ac:dyDescent="0.35">
      <c r="F446" s="85"/>
      <c r="G446" s="85"/>
      <c r="H446" s="85"/>
    </row>
    <row r="448" spans="6:8" x14ac:dyDescent="0.35">
      <c r="F448" s="85"/>
      <c r="G448" s="85"/>
      <c r="H448" s="85"/>
    </row>
    <row r="449" spans="6:8" x14ac:dyDescent="0.35">
      <c r="F449" s="85"/>
      <c r="G449" s="85"/>
      <c r="H449" s="85"/>
    </row>
    <row r="451" spans="6:8" x14ac:dyDescent="0.35">
      <c r="F451" s="85"/>
      <c r="G451" s="85"/>
      <c r="H451" s="85"/>
    </row>
    <row r="452" spans="6:8" x14ac:dyDescent="0.35">
      <c r="F452" s="85"/>
      <c r="G452" s="85"/>
      <c r="H452" s="8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182"/>
  <sheetViews>
    <sheetView zoomScale="80" zoomScaleNormal="80" workbookViewId="0">
      <pane ySplit="2" topLeftCell="A3" activePane="bottomLeft" state="frozen"/>
      <selection pane="bottomLeft"/>
    </sheetView>
  </sheetViews>
  <sheetFormatPr defaultColWidth="15.7109375" defaultRowHeight="16.5" x14ac:dyDescent="0.35"/>
  <cols>
    <col min="1" max="1" width="29.5703125" style="15" customWidth="1"/>
    <col min="2" max="2" width="15.85546875" style="15" bestFit="1" customWidth="1"/>
    <col min="3" max="3" width="19.5703125" style="15" bestFit="1" customWidth="1"/>
    <col min="4" max="4" width="15.7109375" style="15"/>
    <col min="5" max="8" width="22.5703125" style="15" customWidth="1"/>
    <col min="9" max="9" width="25.7109375" style="15" customWidth="1"/>
    <col min="10" max="10" width="25.7109375" style="23" customWidth="1"/>
    <col min="11" max="65" width="25.7109375" style="15" customWidth="1"/>
    <col min="66" max="16384" width="15.7109375" style="22"/>
  </cols>
  <sheetData>
    <row r="1" spans="1:65" s="53" customFormat="1" ht="82.5" x14ac:dyDescent="0.25">
      <c r="A1" s="52" t="s">
        <v>9943</v>
      </c>
      <c r="B1" s="52" t="s">
        <v>9876</v>
      </c>
      <c r="C1" s="52" t="s">
        <v>9877</v>
      </c>
      <c r="D1" s="52" t="s">
        <v>9887</v>
      </c>
      <c r="E1" s="52" t="s">
        <v>9944</v>
      </c>
      <c r="F1" s="52" t="s">
        <v>10328</v>
      </c>
      <c r="G1" s="52" t="s">
        <v>10329</v>
      </c>
      <c r="H1" s="52" t="s">
        <v>10330</v>
      </c>
      <c r="I1" s="52" t="str">
        <f>AO1</f>
        <v>Nova RT | TARIFA LÍQUIDA pós MODICIDADE TARIFÁRIA</v>
      </c>
      <c r="J1" s="52" t="str">
        <f>BM1</f>
        <v>% EF RT &amp; CM | Eficiência Valorização RT + Custos Movimentação:
 (Esforço s/ Tarifa Munícipe)</v>
      </c>
      <c r="K1" s="52" t="s">
        <v>9888</v>
      </c>
      <c r="L1" s="52" t="s">
        <v>9889</v>
      </c>
      <c r="M1" s="52" t="s">
        <v>9890</v>
      </c>
      <c r="N1" s="52" t="s">
        <v>9891</v>
      </c>
      <c r="O1" s="52" t="s">
        <v>9892</v>
      </c>
      <c r="P1" s="52" t="s">
        <v>9893</v>
      </c>
      <c r="Q1" s="52" t="s">
        <v>9894</v>
      </c>
      <c r="R1" s="52" t="s">
        <v>9895</v>
      </c>
      <c r="S1" s="52" t="s">
        <v>9896</v>
      </c>
      <c r="T1" s="52" t="s">
        <v>9897</v>
      </c>
      <c r="U1" s="52" t="s">
        <v>9898</v>
      </c>
      <c r="V1" s="52" t="s">
        <v>9899</v>
      </c>
      <c r="W1" s="52" t="s">
        <v>9900</v>
      </c>
      <c r="X1" s="52" t="s">
        <v>9901</v>
      </c>
      <c r="Y1" s="52" t="s">
        <v>9902</v>
      </c>
      <c r="Z1" s="52" t="s">
        <v>9903</v>
      </c>
      <c r="AA1" s="52" t="s">
        <v>9904</v>
      </c>
      <c r="AB1" s="52" t="s">
        <v>9905</v>
      </c>
      <c r="AC1" s="52" t="s">
        <v>9906</v>
      </c>
      <c r="AD1" s="52" t="s">
        <v>9907</v>
      </c>
      <c r="AE1" s="52" t="s">
        <v>9908</v>
      </c>
      <c r="AF1" s="52" t="s">
        <v>9909</v>
      </c>
      <c r="AG1" s="52" t="s">
        <v>9910</v>
      </c>
      <c r="AH1" s="52" t="s">
        <v>9911</v>
      </c>
      <c r="AI1" s="52" t="s">
        <v>9912</v>
      </c>
      <c r="AJ1" s="52" t="s">
        <v>9913</v>
      </c>
      <c r="AK1" s="52" t="s">
        <v>9914</v>
      </c>
      <c r="AL1" s="52" t="s">
        <v>9915</v>
      </c>
      <c r="AM1" s="52" t="s">
        <v>9916</v>
      </c>
      <c r="AN1" s="52" t="s">
        <v>9917</v>
      </c>
      <c r="AO1" s="52" t="s">
        <v>9918</v>
      </c>
      <c r="AP1" s="52" t="s">
        <v>9919</v>
      </c>
      <c r="AQ1" s="52" t="s">
        <v>9920</v>
      </c>
      <c r="AR1" s="52" t="s">
        <v>9921</v>
      </c>
      <c r="AS1" s="52" t="s">
        <v>9922</v>
      </c>
      <c r="AT1" s="52" t="s">
        <v>9923</v>
      </c>
      <c r="AU1" s="52" t="s">
        <v>9924</v>
      </c>
      <c r="AV1" s="52" t="s">
        <v>9925</v>
      </c>
      <c r="AW1" s="52" t="s">
        <v>9926</v>
      </c>
      <c r="AX1" s="52" t="s">
        <v>9927</v>
      </c>
      <c r="AY1" s="52" t="s">
        <v>9928</v>
      </c>
      <c r="AZ1" s="52" t="s">
        <v>9929</v>
      </c>
      <c r="BA1" s="52" t="s">
        <v>9930</v>
      </c>
      <c r="BB1" s="52" t="s">
        <v>9931</v>
      </c>
      <c r="BC1" s="52" t="s">
        <v>9932</v>
      </c>
      <c r="BD1" s="52" t="s">
        <v>9933</v>
      </c>
      <c r="BE1" s="52" t="s">
        <v>9934</v>
      </c>
      <c r="BF1" s="52" t="s">
        <v>9935</v>
      </c>
      <c r="BG1" s="52" t="s">
        <v>9936</v>
      </c>
      <c r="BH1" s="52" t="s">
        <v>9937</v>
      </c>
      <c r="BI1" s="52" t="s">
        <v>9938</v>
      </c>
      <c r="BJ1" s="52" t="s">
        <v>9939</v>
      </c>
      <c r="BK1" s="52" t="s">
        <v>9940</v>
      </c>
      <c r="BL1" s="52" t="s">
        <v>9941</v>
      </c>
      <c r="BM1" s="52" t="s">
        <v>9942</v>
      </c>
    </row>
    <row r="2" spans="1:65" s="14" customFormat="1" ht="19.5" thickBot="1" x14ac:dyDescent="0.3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10335</v>
      </c>
      <c r="G2" s="36" t="s">
        <v>10419</v>
      </c>
      <c r="H2" s="36" t="s">
        <v>9948</v>
      </c>
      <c r="I2" s="36" t="s">
        <v>9948</v>
      </c>
      <c r="J2" s="36" t="s">
        <v>9634</v>
      </c>
      <c r="K2" s="36" t="s">
        <v>10336</v>
      </c>
      <c r="L2" s="36" t="s">
        <v>9796</v>
      </c>
      <c r="M2" s="36" t="s">
        <v>9796</v>
      </c>
      <c r="N2" s="36" t="s">
        <v>10337</v>
      </c>
      <c r="O2" s="36" t="s">
        <v>10337</v>
      </c>
      <c r="P2" s="36" t="s">
        <v>10337</v>
      </c>
      <c r="Q2" s="36" t="s">
        <v>10337</v>
      </c>
      <c r="R2" s="36" t="s">
        <v>10337</v>
      </c>
      <c r="S2" s="36" t="s">
        <v>10337</v>
      </c>
      <c r="T2" s="36" t="s">
        <v>10337</v>
      </c>
      <c r="U2" s="36" t="s">
        <v>10338</v>
      </c>
      <c r="V2" s="36" t="s">
        <v>10338</v>
      </c>
      <c r="W2" s="36" t="s">
        <v>10339</v>
      </c>
      <c r="X2" s="36" t="s">
        <v>10420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35">
      <c r="A3" s="15" t="s">
        <v>10601</v>
      </c>
      <c r="B3" s="15" t="s">
        <v>10455</v>
      </c>
      <c r="C3" s="15" t="s">
        <v>10456</v>
      </c>
      <c r="D3" s="15" t="s">
        <v>10321</v>
      </c>
      <c r="E3" s="15" t="s">
        <v>10602</v>
      </c>
      <c r="F3" s="15">
        <v>73378</v>
      </c>
      <c r="G3" s="15">
        <v>0.89712768972223778</v>
      </c>
      <c r="H3" s="15">
        <v>200</v>
      </c>
      <c r="I3" s="80">
        <v>808.16195212485775</v>
      </c>
      <c r="J3" s="79">
        <v>0.79230281734632158</v>
      </c>
      <c r="K3" s="15">
        <v>30</v>
      </c>
      <c r="L3" s="15">
        <v>91.560620588688693</v>
      </c>
      <c r="M3" s="15">
        <v>17.774656968432353</v>
      </c>
      <c r="N3" s="15">
        <v>25.739401664939734</v>
      </c>
      <c r="O3" s="15">
        <v>4.7976829036356081</v>
      </c>
      <c r="P3" s="15">
        <v>9.966071104900097</v>
      </c>
      <c r="Q3" s="15">
        <v>10.975647656404028</v>
      </c>
      <c r="R3" s="15">
        <v>2.0527172827789437</v>
      </c>
      <c r="S3" s="15">
        <v>4.3014208046851543</v>
      </c>
      <c r="T3" s="15">
        <v>4.6215095689399295</v>
      </c>
      <c r="U3" s="15">
        <v>0</v>
      </c>
      <c r="V3" s="15">
        <v>3125.6796848229546</v>
      </c>
      <c r="W3" s="15">
        <v>0</v>
      </c>
      <c r="X3" s="15">
        <v>0</v>
      </c>
      <c r="Y3" s="15">
        <v>949.79301355741711</v>
      </c>
      <c r="Z3" s="15">
        <v>0</v>
      </c>
      <c r="AA3" s="15">
        <v>596.15300000000002</v>
      </c>
      <c r="AB3" s="15">
        <v>53.439</v>
      </c>
      <c r="AC3" s="15">
        <v>300.20101355741713</v>
      </c>
      <c r="AD3" s="15">
        <v>141.63106143255936</v>
      </c>
      <c r="AE3" s="15">
        <v>10.497023283962299</v>
      </c>
      <c r="AF3" s="15">
        <v>0</v>
      </c>
      <c r="AG3" s="15">
        <v>0</v>
      </c>
      <c r="AH3" s="15">
        <v>29.67326939859694</v>
      </c>
      <c r="AI3" s="15">
        <v>101.46076875000001</v>
      </c>
      <c r="AJ3" s="15">
        <v>0</v>
      </c>
      <c r="AK3" s="15">
        <v>0</v>
      </c>
      <c r="AL3" s="15">
        <v>0</v>
      </c>
      <c r="AM3" s="15">
        <v>0</v>
      </c>
      <c r="AN3" s="15">
        <v>0.47178741921692641</v>
      </c>
      <c r="AO3" s="15">
        <v>808.16195212485775</v>
      </c>
      <c r="AP3" s="15">
        <v>40.170292682559236</v>
      </c>
      <c r="AQ3" s="15">
        <v>10.497023283962299</v>
      </c>
      <c r="AR3" s="15">
        <v>0</v>
      </c>
      <c r="AS3" s="15">
        <v>0</v>
      </c>
      <c r="AT3" s="15">
        <v>29.67326939859694</v>
      </c>
      <c r="AU3" s="15">
        <v>558.70865098292643</v>
      </c>
      <c r="AV3" s="15">
        <v>106.64006786049794</v>
      </c>
      <c r="AW3" s="15">
        <v>106.64006786049794</v>
      </c>
      <c r="AX3" s="15">
        <v>0</v>
      </c>
      <c r="AY3" s="15">
        <v>0</v>
      </c>
      <c r="AZ3" s="15">
        <v>306.01863602348368</v>
      </c>
      <c r="BA3" s="15">
        <v>76.930878417473053</v>
      </c>
      <c r="BB3" s="15">
        <v>95.453232335837768</v>
      </c>
      <c r="BC3" s="15">
        <v>133.63452527017284</v>
      </c>
      <c r="BD3" s="15">
        <v>0</v>
      </c>
      <c r="BE3" s="15">
        <v>146.04994709894487</v>
      </c>
      <c r="BF3" s="15">
        <v>50.728977470006861</v>
      </c>
      <c r="BG3" s="15">
        <v>1.4723613094253218</v>
      </c>
      <c r="BH3" s="15">
        <v>93.848608319512678</v>
      </c>
      <c r="BI3" s="15">
        <v>0</v>
      </c>
      <c r="BJ3" s="15">
        <v>598.87894366548562</v>
      </c>
      <c r="BK3" s="15">
        <v>740.51000509804499</v>
      </c>
      <c r="BL3" s="15">
        <v>2.1329341428694439</v>
      </c>
      <c r="BM3" s="15">
        <v>0.79230281734632158</v>
      </c>
    </row>
    <row r="4" spans="1:65" x14ac:dyDescent="0.35">
      <c r="A4" s="15" t="s">
        <v>10601</v>
      </c>
      <c r="B4" s="15" t="s">
        <v>10455</v>
      </c>
      <c r="C4" s="15" t="s">
        <v>10456</v>
      </c>
      <c r="D4" s="15" t="s">
        <v>10322</v>
      </c>
      <c r="E4" s="15" t="s">
        <v>10603</v>
      </c>
      <c r="F4" s="15">
        <v>73378</v>
      </c>
      <c r="G4" s="15">
        <v>0.89712768972223778</v>
      </c>
      <c r="H4" s="15">
        <v>200</v>
      </c>
      <c r="I4" s="80">
        <v>1092.7179502894769</v>
      </c>
      <c r="J4" s="81">
        <v>0.32788619609282688</v>
      </c>
      <c r="K4" s="15">
        <v>30</v>
      </c>
      <c r="L4" s="15">
        <v>91.560620588688693</v>
      </c>
      <c r="M4" s="15">
        <v>17.774656968432353</v>
      </c>
      <c r="N4" s="15">
        <v>25.739401664939734</v>
      </c>
      <c r="O4" s="15">
        <v>4.7976829036356081</v>
      </c>
      <c r="P4" s="15">
        <v>9.966071104900097</v>
      </c>
      <c r="Q4" s="15">
        <v>10.975647656404028</v>
      </c>
      <c r="R4" s="15">
        <v>2.0527172827789437</v>
      </c>
      <c r="S4" s="15">
        <v>4.3014208046851543</v>
      </c>
      <c r="T4" s="15">
        <v>4.6215095689399295</v>
      </c>
      <c r="U4" s="15">
        <v>0</v>
      </c>
      <c r="V4" s="15">
        <v>0</v>
      </c>
      <c r="W4" s="15">
        <v>781.41992120573866</v>
      </c>
      <c r="X4" s="15">
        <v>0</v>
      </c>
      <c r="Y4" s="15">
        <v>949.79301355741711</v>
      </c>
      <c r="Z4" s="15">
        <v>0</v>
      </c>
      <c r="AA4" s="15">
        <v>596.15300000000002</v>
      </c>
      <c r="AB4" s="15">
        <v>53.439</v>
      </c>
      <c r="AC4" s="15">
        <v>300.20101355741713</v>
      </c>
      <c r="AD4" s="15">
        <v>-142.92493673205979</v>
      </c>
      <c r="AE4" s="15">
        <v>-11.927837405433962</v>
      </c>
      <c r="AF4" s="15">
        <v>23.561329403779002</v>
      </c>
      <c r="AG4" s="15">
        <v>-271.14341987240073</v>
      </c>
      <c r="AH4" s="15">
        <v>0</v>
      </c>
      <c r="AI4" s="15">
        <v>101.46076875000001</v>
      </c>
      <c r="AJ4" s="15">
        <v>0</v>
      </c>
      <c r="AK4" s="15">
        <v>15.124222391996094</v>
      </c>
      <c r="AL4" s="15">
        <v>0</v>
      </c>
      <c r="AM4" s="15">
        <v>0</v>
      </c>
      <c r="AN4" s="15">
        <v>-0.47609744896721889</v>
      </c>
      <c r="AO4" s="15">
        <v>1092.7179502894769</v>
      </c>
      <c r="AP4" s="15">
        <v>0</v>
      </c>
      <c r="AQ4" s="15">
        <v>0</v>
      </c>
      <c r="AR4" s="15">
        <v>0</v>
      </c>
      <c r="AS4" s="15">
        <v>0</v>
      </c>
      <c r="AT4" s="15">
        <v>0</v>
      </c>
      <c r="AU4" s="15">
        <v>601.41308241224419</v>
      </c>
      <c r="AV4" s="15">
        <v>106.64006786049794</v>
      </c>
      <c r="AW4" s="15">
        <v>106.64006786049794</v>
      </c>
      <c r="AX4" s="15">
        <v>0</v>
      </c>
      <c r="AY4" s="15">
        <v>0</v>
      </c>
      <c r="AZ4" s="15">
        <v>306.01863602348368</v>
      </c>
      <c r="BA4" s="15">
        <v>76.930878417473053</v>
      </c>
      <c r="BB4" s="15">
        <v>95.453232335837768</v>
      </c>
      <c r="BC4" s="15">
        <v>133.63452527017284</v>
      </c>
      <c r="BD4" s="15">
        <v>0</v>
      </c>
      <c r="BE4" s="15">
        <v>188.75437852826258</v>
      </c>
      <c r="BF4" s="15">
        <v>65.712988497837628</v>
      </c>
      <c r="BG4" s="15">
        <v>1.4723613094253218</v>
      </c>
      <c r="BH4" s="15">
        <v>121.56902872099961</v>
      </c>
      <c r="BI4" s="15">
        <v>0</v>
      </c>
      <c r="BJ4" s="15">
        <v>601.41308241224419</v>
      </c>
      <c r="BK4" s="15">
        <v>458.4881456801844</v>
      </c>
      <c r="BL4" s="15">
        <v>1.1934907476727772</v>
      </c>
      <c r="BM4" s="15">
        <v>0.32788619609282688</v>
      </c>
    </row>
    <row r="5" spans="1:65" x14ac:dyDescent="0.35">
      <c r="A5" s="15" t="s">
        <v>10601</v>
      </c>
      <c r="B5" s="15" t="s">
        <v>10455</v>
      </c>
      <c r="C5" s="15" t="s">
        <v>10456</v>
      </c>
      <c r="D5" s="15" t="s">
        <v>10323</v>
      </c>
      <c r="E5" s="15" t="s">
        <v>10604</v>
      </c>
      <c r="F5" s="15">
        <v>73378</v>
      </c>
      <c r="G5" s="15">
        <v>0.89712768972223778</v>
      </c>
      <c r="H5" s="15">
        <v>200</v>
      </c>
      <c r="I5" s="80">
        <v>835.50913961343724</v>
      </c>
      <c r="J5" s="79">
        <v>0.69444541944265858</v>
      </c>
      <c r="K5" s="15">
        <v>30</v>
      </c>
      <c r="L5" s="15">
        <v>91.560620588688693</v>
      </c>
      <c r="M5" s="15">
        <v>17.774656968432353</v>
      </c>
      <c r="N5" s="15">
        <v>25.739401664939734</v>
      </c>
      <c r="O5" s="15">
        <v>4.7976829036356081</v>
      </c>
      <c r="P5" s="15">
        <v>9.966071104900097</v>
      </c>
      <c r="Q5" s="15">
        <v>10.975647656404028</v>
      </c>
      <c r="R5" s="15">
        <v>2.0527172827789437</v>
      </c>
      <c r="S5" s="15">
        <v>4.3014208046851543</v>
      </c>
      <c r="T5" s="15">
        <v>4.6215095689399295</v>
      </c>
      <c r="U5" s="15">
        <v>0</v>
      </c>
      <c r="V5" s="15">
        <v>0</v>
      </c>
      <c r="W5" s="15">
        <v>0</v>
      </c>
      <c r="X5" s="15">
        <v>781419.92120573868</v>
      </c>
      <c r="Y5" s="15">
        <v>949.79301355741711</v>
      </c>
      <c r="Z5" s="15">
        <v>0</v>
      </c>
      <c r="AA5" s="15">
        <v>596.15300000000002</v>
      </c>
      <c r="AB5" s="15">
        <v>53.439</v>
      </c>
      <c r="AC5" s="15">
        <v>300.20101355741713</v>
      </c>
      <c r="AD5" s="15">
        <v>114.28387394397987</v>
      </c>
      <c r="AE5" s="15">
        <v>-11.927837405433962</v>
      </c>
      <c r="AF5" s="15">
        <v>0</v>
      </c>
      <c r="AG5" s="15">
        <v>0</v>
      </c>
      <c r="AH5" s="15">
        <v>0</v>
      </c>
      <c r="AI5" s="15">
        <v>101.46076875000001</v>
      </c>
      <c r="AJ5" s="15">
        <v>0</v>
      </c>
      <c r="AK5" s="15">
        <v>24.750942599413754</v>
      </c>
      <c r="AL5" s="15">
        <v>0</v>
      </c>
      <c r="AM5" s="15">
        <v>0</v>
      </c>
      <c r="AN5" s="15">
        <v>0.3806911661946194</v>
      </c>
      <c r="AO5" s="15">
        <v>835.50913961343724</v>
      </c>
      <c r="AP5" s="15">
        <v>0</v>
      </c>
      <c r="AQ5" s="15">
        <v>0</v>
      </c>
      <c r="AR5" s="15">
        <v>0</v>
      </c>
      <c r="AS5" s="15">
        <v>0</v>
      </c>
      <c r="AT5" s="15">
        <v>0</v>
      </c>
      <c r="AU5" s="15">
        <v>566.13263452046544</v>
      </c>
      <c r="AV5" s="15">
        <v>106.64006786049794</v>
      </c>
      <c r="AW5" s="15">
        <v>106.64006786049794</v>
      </c>
      <c r="AX5" s="15">
        <v>0</v>
      </c>
      <c r="AY5" s="15">
        <v>0</v>
      </c>
      <c r="AZ5" s="15">
        <v>306.01863602348368</v>
      </c>
      <c r="BA5" s="15">
        <v>76.930878417473053</v>
      </c>
      <c r="BB5" s="15">
        <v>95.453232335837768</v>
      </c>
      <c r="BC5" s="15">
        <v>133.63452527017284</v>
      </c>
      <c r="BD5" s="15">
        <v>0</v>
      </c>
      <c r="BE5" s="15">
        <v>153.47393063648389</v>
      </c>
      <c r="BF5" s="15">
        <v>53.333883974406518</v>
      </c>
      <c r="BG5" s="15">
        <v>1.4723613094253218</v>
      </c>
      <c r="BH5" s="15">
        <v>98.667685352652043</v>
      </c>
      <c r="BI5" s="15">
        <v>0</v>
      </c>
      <c r="BJ5" s="15">
        <v>566.13263452046544</v>
      </c>
      <c r="BK5" s="15">
        <v>680.41650846444531</v>
      </c>
      <c r="BL5" s="15">
        <v>1.9327566154138078</v>
      </c>
      <c r="BM5" s="15">
        <v>0.69444541944265858</v>
      </c>
    </row>
    <row r="6" spans="1:65" x14ac:dyDescent="0.35">
      <c r="A6" s="15" t="s">
        <v>10601</v>
      </c>
      <c r="B6" s="15" t="s">
        <v>10455</v>
      </c>
      <c r="C6" s="15" t="s">
        <v>10456</v>
      </c>
      <c r="D6" s="15" t="s">
        <v>10324</v>
      </c>
      <c r="E6" s="15" t="s">
        <v>10605</v>
      </c>
      <c r="F6" s="15">
        <v>73378</v>
      </c>
      <c r="G6" s="15">
        <v>0.89712768972223778</v>
      </c>
      <c r="H6" s="15">
        <v>200</v>
      </c>
      <c r="I6" s="80">
        <v>828.73109951045319</v>
      </c>
      <c r="J6" s="79">
        <v>0.67214766219561717</v>
      </c>
      <c r="K6" s="15">
        <v>30</v>
      </c>
      <c r="L6" s="15">
        <v>92.719086433395333</v>
      </c>
      <c r="M6" s="15">
        <v>17.299349651648942</v>
      </c>
      <c r="N6" s="15">
        <v>25.739401664939734</v>
      </c>
      <c r="O6" s="15">
        <v>3.616900721957331</v>
      </c>
      <c r="P6" s="15">
        <v>10.387779026928055</v>
      </c>
      <c r="Q6" s="15">
        <v>11.734721916054349</v>
      </c>
      <c r="R6" s="15">
        <v>2.0527172827789437</v>
      </c>
      <c r="S6" s="15">
        <v>5.060495064335476</v>
      </c>
      <c r="T6" s="15">
        <v>4.6215095689399295</v>
      </c>
      <c r="U6" s="15">
        <v>0</v>
      </c>
      <c r="V6" s="15">
        <v>0</v>
      </c>
      <c r="W6" s="15">
        <v>0</v>
      </c>
      <c r="X6" s="15">
        <v>0</v>
      </c>
      <c r="Y6" s="15">
        <v>917.19617534542658</v>
      </c>
      <c r="Z6" s="15">
        <v>0</v>
      </c>
      <c r="AA6" s="15">
        <v>596.15300000000002</v>
      </c>
      <c r="AB6" s="15">
        <v>53.439</v>
      </c>
      <c r="AC6" s="15">
        <v>267.60417534542665</v>
      </c>
      <c r="AD6" s="15">
        <v>88.465075834973391</v>
      </c>
      <c r="AE6" s="15">
        <v>-12.995692915026606</v>
      </c>
      <c r="AF6" s="15">
        <v>0</v>
      </c>
      <c r="AG6" s="15">
        <v>0</v>
      </c>
      <c r="AH6" s="15">
        <v>0</v>
      </c>
      <c r="AI6" s="15">
        <v>101.46076875000001</v>
      </c>
      <c r="AJ6" s="15">
        <v>0</v>
      </c>
      <c r="AK6" s="15">
        <v>0</v>
      </c>
      <c r="AL6" s="15">
        <v>0</v>
      </c>
      <c r="AM6" s="15">
        <v>0</v>
      </c>
      <c r="AN6" s="15">
        <v>0.33058182190461571</v>
      </c>
      <c r="AO6" s="15">
        <v>828.73109951045319</v>
      </c>
      <c r="AP6" s="15">
        <v>0</v>
      </c>
      <c r="AQ6" s="15">
        <v>0</v>
      </c>
      <c r="AR6" s="15">
        <v>0</v>
      </c>
      <c r="AS6" s="15">
        <v>0</v>
      </c>
      <c r="AT6" s="15">
        <v>0</v>
      </c>
      <c r="AU6" s="15">
        <v>536.16877063520769</v>
      </c>
      <c r="AV6" s="15">
        <v>103.02888585239354</v>
      </c>
      <c r="AW6" s="15">
        <v>103.02888585239354</v>
      </c>
      <c r="AX6" s="15">
        <v>0</v>
      </c>
      <c r="AY6" s="15">
        <v>0</v>
      </c>
      <c r="AZ6" s="15">
        <v>284.26905871640753</v>
      </c>
      <c r="BA6" s="15">
        <v>76.930878417473053</v>
      </c>
      <c r="BB6" s="15">
        <v>86.390908457889353</v>
      </c>
      <c r="BC6" s="15">
        <v>120.94727184104509</v>
      </c>
      <c r="BD6" s="15">
        <v>0</v>
      </c>
      <c r="BE6" s="15">
        <v>148.87082606640666</v>
      </c>
      <c r="BF6" s="15">
        <v>51.718759563853098</v>
      </c>
      <c r="BG6" s="15">
        <v>1.4723613094253218</v>
      </c>
      <c r="BH6" s="15">
        <v>95.679705193128228</v>
      </c>
      <c r="BI6" s="15">
        <v>0</v>
      </c>
      <c r="BJ6" s="15">
        <v>536.16877063520769</v>
      </c>
      <c r="BK6" s="15">
        <v>624.63384647018108</v>
      </c>
      <c r="BL6" s="15">
        <v>2.0815432734027186</v>
      </c>
      <c r="BM6" s="15">
        <v>0.67214766219561717</v>
      </c>
    </row>
    <row r="7" spans="1:65" x14ac:dyDescent="0.35">
      <c r="A7" s="15" t="s">
        <v>10601</v>
      </c>
      <c r="B7" s="15" t="s">
        <v>10455</v>
      </c>
      <c r="C7" s="15" t="s">
        <v>10456</v>
      </c>
      <c r="D7" s="15" t="s">
        <v>10325</v>
      </c>
      <c r="E7" s="15" t="s">
        <v>10606</v>
      </c>
      <c r="F7" s="15">
        <v>73378</v>
      </c>
      <c r="G7" s="15">
        <v>0.89712768972223778</v>
      </c>
      <c r="H7" s="15">
        <v>200</v>
      </c>
      <c r="I7" s="80">
        <v>891.3889075395582</v>
      </c>
      <c r="J7" s="79">
        <v>0.56689914208046843</v>
      </c>
      <c r="K7" s="15">
        <v>30</v>
      </c>
      <c r="L7" s="15">
        <v>87.248083091735197</v>
      </c>
      <c r="M7" s="15">
        <v>16.543281710255041</v>
      </c>
      <c r="N7" s="15">
        <v>25.739401664939734</v>
      </c>
      <c r="O7" s="15">
        <v>5.7681355646088317</v>
      </c>
      <c r="P7" s="15">
        <v>9.0041574904292183</v>
      </c>
      <c r="Q7" s="15">
        <v>10.967108609901684</v>
      </c>
      <c r="R7" s="15">
        <v>2.0527172827789437</v>
      </c>
      <c r="S7" s="15">
        <v>0</v>
      </c>
      <c r="T7" s="15">
        <v>8.9143913271227433</v>
      </c>
      <c r="U7" s="15">
        <v>0</v>
      </c>
      <c r="V7" s="15">
        <v>0</v>
      </c>
      <c r="W7" s="15">
        <v>0</v>
      </c>
      <c r="X7" s="15">
        <v>0</v>
      </c>
      <c r="Y7" s="15">
        <v>980.64765178408584</v>
      </c>
      <c r="Z7" s="15">
        <v>0</v>
      </c>
      <c r="AA7" s="15">
        <v>596.15300000000002</v>
      </c>
      <c r="AB7" s="15">
        <v>53.439</v>
      </c>
      <c r="AC7" s="15">
        <v>331.05565178408585</v>
      </c>
      <c r="AD7" s="15">
        <v>89.258744244527634</v>
      </c>
      <c r="AE7" s="15">
        <v>-12.202024505472439</v>
      </c>
      <c r="AF7" s="15">
        <v>0</v>
      </c>
      <c r="AG7" s="15">
        <v>0</v>
      </c>
      <c r="AH7" s="15">
        <v>0</v>
      </c>
      <c r="AI7" s="15">
        <v>101.46076875000001</v>
      </c>
      <c r="AJ7" s="15">
        <v>0</v>
      </c>
      <c r="AK7" s="15">
        <v>0</v>
      </c>
      <c r="AL7" s="15">
        <v>0</v>
      </c>
      <c r="AM7" s="15">
        <v>0</v>
      </c>
      <c r="AN7" s="15">
        <v>0.26961854831205873</v>
      </c>
      <c r="AO7" s="15">
        <v>891.3889075395582</v>
      </c>
      <c r="AP7" s="15">
        <v>0</v>
      </c>
      <c r="AQ7" s="15">
        <v>0</v>
      </c>
      <c r="AR7" s="15">
        <v>0</v>
      </c>
      <c r="AS7" s="15">
        <v>0</v>
      </c>
      <c r="AT7" s="15">
        <v>0</v>
      </c>
      <c r="AU7" s="15">
        <v>547.12451448377976</v>
      </c>
      <c r="AV7" s="15">
        <v>115.13445890136136</v>
      </c>
      <c r="AW7" s="15">
        <v>115.13445890136136</v>
      </c>
      <c r="AX7" s="15">
        <v>0</v>
      </c>
      <c r="AY7" s="15">
        <v>0</v>
      </c>
      <c r="AZ7" s="15">
        <v>273.81540532293593</v>
      </c>
      <c r="BA7" s="15">
        <v>76.930878417473053</v>
      </c>
      <c r="BB7" s="15">
        <v>82.035219543942858</v>
      </c>
      <c r="BC7" s="15">
        <v>114.84930736151999</v>
      </c>
      <c r="BD7" s="15">
        <v>0</v>
      </c>
      <c r="BE7" s="15">
        <v>158.17465025948246</v>
      </c>
      <c r="BF7" s="15">
        <v>54.983259280721803</v>
      </c>
      <c r="BG7" s="15">
        <v>1.4723613094253218</v>
      </c>
      <c r="BH7" s="15">
        <v>101.71902966933533</v>
      </c>
      <c r="BI7" s="15">
        <v>0</v>
      </c>
      <c r="BJ7" s="15">
        <v>547.12451448377976</v>
      </c>
      <c r="BK7" s="15">
        <v>636.3832587283074</v>
      </c>
      <c r="BL7" s="15">
        <v>1.5264128681113582</v>
      </c>
      <c r="BM7" s="15">
        <v>0.56689914208046843</v>
      </c>
    </row>
    <row r="8" spans="1:65" x14ac:dyDescent="0.35">
      <c r="A8" s="15" t="s">
        <v>10601</v>
      </c>
      <c r="B8" s="15" t="s">
        <v>10455</v>
      </c>
      <c r="C8" s="15" t="s">
        <v>10456</v>
      </c>
      <c r="D8" s="15" t="s">
        <v>10326</v>
      </c>
      <c r="E8" s="15" t="s">
        <v>10607</v>
      </c>
      <c r="F8" s="15">
        <v>73378</v>
      </c>
      <c r="G8" s="15">
        <v>0.89712768972223778</v>
      </c>
      <c r="H8" s="15">
        <v>200</v>
      </c>
      <c r="I8" s="80">
        <v>793.33319309225919</v>
      </c>
      <c r="J8" s="79">
        <v>1.2484894400348823</v>
      </c>
      <c r="K8" s="15">
        <v>30</v>
      </c>
      <c r="L8" s="15">
        <v>85.345489880193526</v>
      </c>
      <c r="M8" s="15">
        <v>16.028041553657353</v>
      </c>
      <c r="N8" s="15">
        <v>25.739401664939734</v>
      </c>
      <c r="O8" s="15">
        <v>18.81034839829945</v>
      </c>
      <c r="P8" s="15">
        <v>4.7373368764321588</v>
      </c>
      <c r="Q8" s="15">
        <v>2.1917163902081285</v>
      </c>
      <c r="R8" s="15">
        <v>2.1917163902081285</v>
      </c>
      <c r="S8" s="15">
        <v>0</v>
      </c>
      <c r="T8" s="15">
        <v>0</v>
      </c>
      <c r="U8" s="15">
        <v>16320.554457048042</v>
      </c>
      <c r="V8" s="15">
        <v>0</v>
      </c>
      <c r="W8" s="15">
        <v>0</v>
      </c>
      <c r="X8" s="15">
        <v>0</v>
      </c>
      <c r="Y8" s="15">
        <v>1265.2928734984678</v>
      </c>
      <c r="Z8" s="15">
        <v>0</v>
      </c>
      <c r="AA8" s="15">
        <v>596.15300000000002</v>
      </c>
      <c r="AB8" s="15">
        <v>53.439</v>
      </c>
      <c r="AC8" s="15">
        <v>615.70087349846779</v>
      </c>
      <c r="AD8" s="15">
        <v>471.95968040620858</v>
      </c>
      <c r="AE8" s="15">
        <v>8.4518747298132286</v>
      </c>
      <c r="AF8" s="15">
        <v>0</v>
      </c>
      <c r="AG8" s="15">
        <v>0</v>
      </c>
      <c r="AH8" s="15">
        <v>340.50744744695282</v>
      </c>
      <c r="AI8" s="15">
        <v>123.00035822944253</v>
      </c>
      <c r="AJ8" s="15">
        <v>0</v>
      </c>
      <c r="AK8" s="15">
        <v>0</v>
      </c>
      <c r="AL8" s="15">
        <v>0</v>
      </c>
      <c r="AM8" s="15">
        <v>0</v>
      </c>
      <c r="AN8" s="15">
        <v>0.76654054057856247</v>
      </c>
      <c r="AO8" s="15">
        <v>793.33319309225919</v>
      </c>
      <c r="AP8" s="15">
        <v>348.95932217676608</v>
      </c>
      <c r="AQ8" s="15">
        <v>8.4518747298132286</v>
      </c>
      <c r="AR8" s="15">
        <v>0</v>
      </c>
      <c r="AS8" s="15">
        <v>0</v>
      </c>
      <c r="AT8" s="15">
        <v>340.50744744695282</v>
      </c>
      <c r="AU8" s="15">
        <v>585.24998492033285</v>
      </c>
      <c r="AV8" s="15">
        <v>158.25416765936461</v>
      </c>
      <c r="AW8" s="15">
        <v>158.25416765936461</v>
      </c>
      <c r="AX8" s="15">
        <v>0</v>
      </c>
      <c r="AY8" s="15">
        <v>0</v>
      </c>
      <c r="AZ8" s="15">
        <v>278.15488441013269</v>
      </c>
      <c r="BA8" s="15">
        <v>82.718698010625403</v>
      </c>
      <c r="BB8" s="15">
        <v>81.431744333128037</v>
      </c>
      <c r="BC8" s="15">
        <v>114.00444206637926</v>
      </c>
      <c r="BD8" s="15">
        <v>0</v>
      </c>
      <c r="BE8" s="15">
        <v>148.84093285083557</v>
      </c>
      <c r="BF8" s="15">
        <v>51.669403464756378</v>
      </c>
      <c r="BG8" s="15">
        <v>1.583132976279912</v>
      </c>
      <c r="BH8" s="15">
        <v>95.588396409799287</v>
      </c>
      <c r="BI8" s="15">
        <v>0</v>
      </c>
      <c r="BJ8" s="15">
        <v>934.20930709709887</v>
      </c>
      <c r="BK8" s="15">
        <v>1406.1689875033076</v>
      </c>
      <c r="BL8" s="15">
        <v>1.6086839513104974</v>
      </c>
      <c r="BM8" s="15">
        <v>1.2484894400348823</v>
      </c>
    </row>
    <row r="9" spans="1:65" x14ac:dyDescent="0.35">
      <c r="A9" s="15" t="s">
        <v>10601</v>
      </c>
      <c r="B9" s="15" t="s">
        <v>10455</v>
      </c>
      <c r="C9" s="15" t="s">
        <v>10456</v>
      </c>
      <c r="D9" s="15" t="s">
        <v>10327</v>
      </c>
      <c r="E9" s="15" t="s">
        <v>10608</v>
      </c>
      <c r="F9" s="15">
        <v>73378</v>
      </c>
      <c r="G9" s="15">
        <v>0.89712768972223778</v>
      </c>
      <c r="H9" s="15">
        <v>200</v>
      </c>
      <c r="I9" s="80">
        <v>1801.5226144356373</v>
      </c>
      <c r="J9" s="81">
        <v>0.12657292250856911</v>
      </c>
      <c r="K9" s="15">
        <v>30</v>
      </c>
      <c r="L9" s="15">
        <v>91.615066678184732</v>
      </c>
      <c r="M9" s="15">
        <v>24.382523964240875</v>
      </c>
      <c r="N9" s="15">
        <v>25.739401664939734</v>
      </c>
      <c r="O9" s="15">
        <v>18.81034839829945</v>
      </c>
      <c r="P9" s="15">
        <v>4.7373368764321588</v>
      </c>
      <c r="Q9" s="15">
        <v>2.1917163902081285</v>
      </c>
      <c r="R9" s="15">
        <v>2.1917163902081285</v>
      </c>
      <c r="S9" s="15">
        <v>0</v>
      </c>
      <c r="T9" s="15">
        <v>0</v>
      </c>
      <c r="U9" s="15">
        <v>16320.554457048042</v>
      </c>
      <c r="V9" s="15">
        <v>0</v>
      </c>
      <c r="W9" s="15">
        <v>0</v>
      </c>
      <c r="X9" s="15">
        <v>0</v>
      </c>
      <c r="Y9" s="15">
        <v>2158.9709805379803</v>
      </c>
      <c r="Z9" s="15">
        <v>0</v>
      </c>
      <c r="AA9" s="15">
        <v>596.15300000000002</v>
      </c>
      <c r="AB9" s="15">
        <v>53.439</v>
      </c>
      <c r="AC9" s="15">
        <v>1509.3789805379802</v>
      </c>
      <c r="AD9" s="15">
        <v>357.44836610234302</v>
      </c>
      <c r="AE9" s="15">
        <v>17.703574761252238</v>
      </c>
      <c r="AF9" s="15">
        <v>0</v>
      </c>
      <c r="AG9" s="15">
        <v>0</v>
      </c>
      <c r="AH9" s="15">
        <v>216.74443311164825</v>
      </c>
      <c r="AI9" s="15">
        <v>123.00035822944253</v>
      </c>
      <c r="AJ9" s="15">
        <v>0</v>
      </c>
      <c r="AK9" s="15">
        <v>0</v>
      </c>
      <c r="AL9" s="15">
        <v>0</v>
      </c>
      <c r="AM9" s="15">
        <v>0</v>
      </c>
      <c r="AN9" s="15">
        <v>0.23681816873780734</v>
      </c>
      <c r="AO9" s="15">
        <v>1801.5226144356373</v>
      </c>
      <c r="AP9" s="15">
        <v>234.44800787290049</v>
      </c>
      <c r="AQ9" s="15">
        <v>17.703574761252238</v>
      </c>
      <c r="AR9" s="15">
        <v>0</v>
      </c>
      <c r="AS9" s="15">
        <v>0</v>
      </c>
      <c r="AT9" s="15">
        <v>216.74443311164825</v>
      </c>
      <c r="AU9" s="15">
        <v>945.50658883713345</v>
      </c>
      <c r="AV9" s="15">
        <v>158.25416765936461</v>
      </c>
      <c r="AW9" s="15">
        <v>158.25416765936461</v>
      </c>
      <c r="AX9" s="15">
        <v>0</v>
      </c>
      <c r="AY9" s="15">
        <v>0</v>
      </c>
      <c r="AZ9" s="15">
        <v>494.7444957855019</v>
      </c>
      <c r="BA9" s="15">
        <v>82.718698010625403</v>
      </c>
      <c r="BB9" s="15">
        <v>171.67741573953188</v>
      </c>
      <c r="BC9" s="15">
        <v>240.34838203534463</v>
      </c>
      <c r="BD9" s="15">
        <v>0</v>
      </c>
      <c r="BE9" s="15">
        <v>292.507925392267</v>
      </c>
      <c r="BF9" s="15">
        <v>102.07887453192529</v>
      </c>
      <c r="BG9" s="15">
        <v>1.583132976279912</v>
      </c>
      <c r="BH9" s="15">
        <v>188.84591788406178</v>
      </c>
      <c r="BI9" s="15">
        <v>0</v>
      </c>
      <c r="BJ9" s="15">
        <v>1179.9545967100339</v>
      </c>
      <c r="BK9" s="15">
        <v>1537.4029628123769</v>
      </c>
      <c r="BL9" s="15">
        <v>0.15107139109166828</v>
      </c>
      <c r="BM9" s="15">
        <v>0.12657292250856911</v>
      </c>
    </row>
    <row r="10" spans="1:65" s="58" customFormat="1" x14ac:dyDescent="0.35">
      <c r="A10" s="59" t="s">
        <v>10601</v>
      </c>
      <c r="B10" s="59" t="s">
        <v>10455</v>
      </c>
      <c r="C10" s="59" t="s">
        <v>10609</v>
      </c>
      <c r="D10" s="59" t="s">
        <v>10326</v>
      </c>
      <c r="E10" s="59" t="s">
        <v>10610</v>
      </c>
      <c r="F10" s="59">
        <v>73378</v>
      </c>
      <c r="G10" s="59">
        <v>0.89712768972223778</v>
      </c>
      <c r="H10" s="59">
        <v>200</v>
      </c>
      <c r="I10" s="59">
        <v>793.33319309225919</v>
      </c>
      <c r="J10" s="88">
        <v>1.2484894400348823</v>
      </c>
      <c r="K10" s="59">
        <v>30</v>
      </c>
      <c r="L10" s="59">
        <v>85.345489880193526</v>
      </c>
      <c r="M10" s="59">
        <v>16.028041553657353</v>
      </c>
      <c r="N10" s="59">
        <v>25.739401664939734</v>
      </c>
      <c r="O10" s="59">
        <v>18.81034839829945</v>
      </c>
      <c r="P10" s="59">
        <v>4.7373368764321588</v>
      </c>
      <c r="Q10" s="59">
        <v>2.1917163902081285</v>
      </c>
      <c r="R10" s="59">
        <v>2.1917163902081285</v>
      </c>
      <c r="S10" s="59">
        <v>0</v>
      </c>
      <c r="T10" s="59">
        <v>0</v>
      </c>
      <c r="U10" s="59">
        <v>16320.554457048042</v>
      </c>
      <c r="V10" s="59">
        <v>0</v>
      </c>
      <c r="W10" s="59">
        <v>0</v>
      </c>
      <c r="X10" s="59">
        <v>0</v>
      </c>
      <c r="Y10" s="59">
        <v>1265.2928734984678</v>
      </c>
      <c r="Z10" s="59">
        <v>0</v>
      </c>
      <c r="AA10" s="59">
        <v>596.15300000000002</v>
      </c>
      <c r="AB10" s="59">
        <v>53.439</v>
      </c>
      <c r="AC10" s="59">
        <v>615.70087349846779</v>
      </c>
      <c r="AD10" s="59">
        <v>471.95968040620858</v>
      </c>
      <c r="AE10" s="59">
        <v>8.4518747298132286</v>
      </c>
      <c r="AF10" s="59">
        <v>0</v>
      </c>
      <c r="AG10" s="59">
        <v>0</v>
      </c>
      <c r="AH10" s="59">
        <v>340.50744744695282</v>
      </c>
      <c r="AI10" s="59">
        <v>123.00035822944253</v>
      </c>
      <c r="AJ10" s="59">
        <v>0</v>
      </c>
      <c r="AK10" s="59">
        <v>0</v>
      </c>
      <c r="AL10" s="59">
        <v>0</v>
      </c>
      <c r="AM10" s="59">
        <v>0</v>
      </c>
      <c r="AN10" s="59">
        <v>0.76654054057856247</v>
      </c>
      <c r="AO10" s="59">
        <v>793.33319309225919</v>
      </c>
      <c r="AP10" s="59">
        <v>348.95932217676608</v>
      </c>
      <c r="AQ10" s="59">
        <v>8.4518747298132286</v>
      </c>
      <c r="AR10" s="59">
        <v>0</v>
      </c>
      <c r="AS10" s="59">
        <v>0</v>
      </c>
      <c r="AT10" s="59">
        <v>340.50744744695282</v>
      </c>
      <c r="AU10" s="59">
        <v>585.24998492033285</v>
      </c>
      <c r="AV10" s="59">
        <v>158.25416765936461</v>
      </c>
      <c r="AW10" s="59">
        <v>158.25416765936461</v>
      </c>
      <c r="AX10" s="59">
        <v>0</v>
      </c>
      <c r="AY10" s="59">
        <v>0</v>
      </c>
      <c r="AZ10" s="59">
        <v>278.15488441013269</v>
      </c>
      <c r="BA10" s="59">
        <v>82.718698010625403</v>
      </c>
      <c r="BB10" s="59">
        <v>81.431744333128037</v>
      </c>
      <c r="BC10" s="59">
        <v>114.00444206637926</v>
      </c>
      <c r="BD10" s="59">
        <v>0</v>
      </c>
      <c r="BE10" s="59">
        <v>148.84093285083557</v>
      </c>
      <c r="BF10" s="59">
        <v>51.669403464756378</v>
      </c>
      <c r="BG10" s="59">
        <v>1.583132976279912</v>
      </c>
      <c r="BH10" s="59">
        <v>95.588396409799287</v>
      </c>
      <c r="BI10" s="59">
        <v>0</v>
      </c>
      <c r="BJ10" s="59">
        <v>934.20930709709887</v>
      </c>
      <c r="BK10" s="57">
        <v>1406.1689875033076</v>
      </c>
      <c r="BL10" s="57">
        <v>1.6086839513104974</v>
      </c>
      <c r="BM10" s="57">
        <v>1.2484894400348823</v>
      </c>
    </row>
    <row r="11" spans="1:65" s="56" customFormat="1" x14ac:dyDescent="0.35">
      <c r="A11" s="55" t="s">
        <v>10601</v>
      </c>
      <c r="B11" s="55" t="s">
        <v>10611</v>
      </c>
      <c r="C11" s="55" t="s">
        <v>9780</v>
      </c>
      <c r="D11" s="55" t="s">
        <v>9780</v>
      </c>
      <c r="E11" s="55" t="s">
        <v>10010</v>
      </c>
      <c r="F11" s="55">
        <f>F10</f>
        <v>73378</v>
      </c>
      <c r="G11" s="55">
        <f>G10</f>
        <v>0.89712768972223778</v>
      </c>
      <c r="H11" s="55">
        <f>(H10*N10)/(N10)</f>
        <v>200</v>
      </c>
      <c r="I11" s="55">
        <f>(I10*N10)/(N10)</f>
        <v>793.33319309225919</v>
      </c>
      <c r="J11" s="89">
        <f>(J10*N10)/(N10)</f>
        <v>1.2484894400348823</v>
      </c>
      <c r="K11" s="55">
        <f t="shared" ref="K11:W11" si="0">K10</f>
        <v>30</v>
      </c>
      <c r="L11" s="55">
        <f t="shared" si="0"/>
        <v>85.345489880193526</v>
      </c>
      <c r="M11" s="55">
        <f t="shared" si="0"/>
        <v>16.028041553657353</v>
      </c>
      <c r="N11" s="55">
        <f t="shared" si="0"/>
        <v>25.739401664939734</v>
      </c>
      <c r="O11" s="55">
        <f t="shared" si="0"/>
        <v>18.81034839829945</v>
      </c>
      <c r="P11" s="55">
        <f t="shared" si="0"/>
        <v>4.7373368764321588</v>
      </c>
      <c r="Q11" s="55">
        <f t="shared" si="0"/>
        <v>2.1917163902081285</v>
      </c>
      <c r="R11" s="55">
        <f t="shared" si="0"/>
        <v>2.1917163902081285</v>
      </c>
      <c r="S11" s="55">
        <f t="shared" si="0"/>
        <v>0</v>
      </c>
      <c r="T11" s="55">
        <f t="shared" si="0"/>
        <v>0</v>
      </c>
      <c r="U11" s="55">
        <f t="shared" si="0"/>
        <v>16320.554457048042</v>
      </c>
      <c r="V11" s="55">
        <f t="shared" si="0"/>
        <v>0</v>
      </c>
      <c r="W11" s="55">
        <f t="shared" si="0"/>
        <v>0</v>
      </c>
      <c r="X11" s="55">
        <f>(X10*N10)/(N10)</f>
        <v>0</v>
      </c>
      <c r="Y11" s="55">
        <f>(Y10*N10)/(N10)</f>
        <v>1265.2928734984678</v>
      </c>
      <c r="Z11" s="55">
        <f>(Z10*N10)/(N10)</f>
        <v>0</v>
      </c>
      <c r="AA11" s="55">
        <f>(AA10*N10)/(N10)</f>
        <v>596.15300000000002</v>
      </c>
      <c r="AB11" s="55">
        <f>(AB10*N10)/(N10)</f>
        <v>53.439</v>
      </c>
      <c r="AC11" s="55">
        <f>(AC10*N10)/(N10)</f>
        <v>615.70087349846779</v>
      </c>
      <c r="AD11" s="55">
        <f>(AD10*N10)/(N10)</f>
        <v>471.95968040620858</v>
      </c>
      <c r="AE11" s="55">
        <f>(AE10*N10)/(N10)</f>
        <v>8.4518747298132286</v>
      </c>
      <c r="AF11" s="55">
        <f>(AF10*N10)/(N10)</f>
        <v>0</v>
      </c>
      <c r="AG11" s="55">
        <f>(AG10*N10)/(N10)</f>
        <v>0</v>
      </c>
      <c r="AH11" s="55">
        <f>(AH10*N10)/(N10)</f>
        <v>340.50744744695282</v>
      </c>
      <c r="AI11" s="55">
        <f>(AI10*N10)/(N10)</f>
        <v>123.00035822944253</v>
      </c>
      <c r="AJ11" s="55">
        <f>(AJ10*N10)/(N10)</f>
        <v>0</v>
      </c>
      <c r="AK11" s="55">
        <f>(AK10*N10)/(N10)</f>
        <v>0</v>
      </c>
      <c r="AL11" s="55">
        <f>(AL10*N10)/(N10)</f>
        <v>0</v>
      </c>
      <c r="AM11" s="55">
        <f>(AM10*N10)/(N10)</f>
        <v>0</v>
      </c>
      <c r="AN11" s="55">
        <f>(AN10*N10)/(N10)</f>
        <v>0.76654054057856247</v>
      </c>
      <c r="AO11" s="55">
        <f>(AO10*N10)/(N10)</f>
        <v>793.33319309225919</v>
      </c>
      <c r="AP11" s="55">
        <f>(AP10*N10)/(N10)</f>
        <v>348.95932217676608</v>
      </c>
      <c r="AQ11" s="55">
        <f>(AQ10*N10)/(N10)</f>
        <v>8.4518747298132286</v>
      </c>
      <c r="AR11" s="55">
        <f>(AR10*N10)/(N10)</f>
        <v>0</v>
      </c>
      <c r="AS11" s="55">
        <f>(AS10*N10)/(N10)</f>
        <v>0</v>
      </c>
      <c r="AT11" s="55">
        <f>(AT10*N10)/(N10)</f>
        <v>340.50744744695282</v>
      </c>
      <c r="AU11" s="55">
        <f>(AU10*N10)/(N10)</f>
        <v>585.24998492033285</v>
      </c>
      <c r="AV11" s="55">
        <f>(AV10*N10)/(N10)</f>
        <v>158.25416765936461</v>
      </c>
      <c r="AW11" s="55">
        <f>(AW10*N10)/(N10)</f>
        <v>158.25416765936461</v>
      </c>
      <c r="AX11" s="55">
        <f>(AX10*N10)/(N10)</f>
        <v>0</v>
      </c>
      <c r="AY11" s="55">
        <f>(AY10*N10)/(N10)</f>
        <v>0</v>
      </c>
      <c r="AZ11" s="55">
        <f>(AZ10*N10)/(N10)</f>
        <v>278.15488441013269</v>
      </c>
      <c r="BA11" s="55">
        <f>(BA10*N10)/(N10)</f>
        <v>82.718698010625403</v>
      </c>
      <c r="BB11" s="55">
        <f>(BB10*N10)/(N10)</f>
        <v>81.431744333128037</v>
      </c>
      <c r="BC11" s="55">
        <f>(BC10*N10)/(N10)</f>
        <v>114.00444206637926</v>
      </c>
      <c r="BD11" s="55">
        <f>(BD10*N10)/(N10)</f>
        <v>0</v>
      </c>
      <c r="BE11" s="55">
        <f>(BE10*N10)/(N10)</f>
        <v>148.84093285083557</v>
      </c>
      <c r="BF11" s="55">
        <f>(BF10*N10)/(N10)</f>
        <v>51.669403464756378</v>
      </c>
      <c r="BG11" s="55">
        <f>(BG10*N10)/(N10)</f>
        <v>1.583132976279912</v>
      </c>
      <c r="BH11" s="55">
        <f>(BH10*N10)/(N10)</f>
        <v>95.588396409799287</v>
      </c>
      <c r="BI11" s="55">
        <f>(BI10*N10)/(N10)</f>
        <v>0</v>
      </c>
      <c r="BJ11" s="55">
        <f>(BJ10*N10)/(N10)</f>
        <v>934.20930709709887</v>
      </c>
      <c r="BK11" s="55">
        <f>(BK10*N10)/(N10)</f>
        <v>1406.1689875033078</v>
      </c>
      <c r="BL11" s="55">
        <f>(BL10*N10)/(N10)</f>
        <v>1.6086839513104974</v>
      </c>
      <c r="BM11" s="55">
        <f>(BM10*N10)/(N10)</f>
        <v>1.2484894400348823</v>
      </c>
    </row>
    <row r="12" spans="1:65" x14ac:dyDescent="0.35">
      <c r="A12" s="15" t="s">
        <v>10612</v>
      </c>
      <c r="B12" s="15" t="s">
        <v>10455</v>
      </c>
      <c r="C12" s="15" t="s">
        <v>10456</v>
      </c>
      <c r="D12" s="15" t="s">
        <v>10321</v>
      </c>
      <c r="E12" s="15" t="s">
        <v>10613</v>
      </c>
      <c r="F12" s="15">
        <v>73378</v>
      </c>
      <c r="G12" s="15">
        <v>0.89712768972223778</v>
      </c>
      <c r="H12" s="15">
        <v>200</v>
      </c>
      <c r="I12" s="80">
        <v>788.80448707485778</v>
      </c>
      <c r="J12" s="79">
        <v>0.83628638959304669</v>
      </c>
      <c r="K12" s="15">
        <v>30</v>
      </c>
      <c r="L12" s="15">
        <v>91.560620588688693</v>
      </c>
      <c r="M12" s="15">
        <v>17.774656968432353</v>
      </c>
      <c r="N12" s="15">
        <v>25.739401664939734</v>
      </c>
      <c r="O12" s="15">
        <v>4.7976829036356081</v>
      </c>
      <c r="P12" s="15">
        <v>9.966071104900097</v>
      </c>
      <c r="Q12" s="15">
        <v>10.975647656404028</v>
      </c>
      <c r="R12" s="15">
        <v>2.0527172827789437</v>
      </c>
      <c r="S12" s="15">
        <v>4.3014208046851543</v>
      </c>
      <c r="T12" s="15">
        <v>4.6215095689399295</v>
      </c>
      <c r="U12" s="15">
        <v>0</v>
      </c>
      <c r="V12" s="15">
        <v>3125.6796848229546</v>
      </c>
      <c r="W12" s="15">
        <v>0</v>
      </c>
      <c r="X12" s="15">
        <v>0</v>
      </c>
      <c r="Y12" s="15">
        <v>949.79301355741711</v>
      </c>
      <c r="Z12" s="15">
        <v>0</v>
      </c>
      <c r="AA12" s="15">
        <v>596.15300000000002</v>
      </c>
      <c r="AB12" s="15">
        <v>53.439</v>
      </c>
      <c r="AC12" s="15">
        <v>300.20101355741713</v>
      </c>
      <c r="AD12" s="15">
        <v>160.98852648255934</v>
      </c>
      <c r="AE12" s="15">
        <v>10.497023283962299</v>
      </c>
      <c r="AF12" s="15">
        <v>0</v>
      </c>
      <c r="AG12" s="15">
        <v>0</v>
      </c>
      <c r="AH12" s="15">
        <v>29.67326939859694</v>
      </c>
      <c r="AI12" s="15">
        <v>101.46076875000001</v>
      </c>
      <c r="AJ12" s="15">
        <v>0</v>
      </c>
      <c r="AK12" s="15">
        <v>0</v>
      </c>
      <c r="AL12" s="15">
        <v>0</v>
      </c>
      <c r="AM12" s="15">
        <v>19.357465049999998</v>
      </c>
      <c r="AN12" s="15">
        <v>0.53626909707874226</v>
      </c>
      <c r="AO12" s="15">
        <v>788.80448707485778</v>
      </c>
      <c r="AP12" s="15">
        <v>40.170292682559236</v>
      </c>
      <c r="AQ12" s="15">
        <v>10.497023283962299</v>
      </c>
      <c r="AR12" s="15">
        <v>0</v>
      </c>
      <c r="AS12" s="15">
        <v>0</v>
      </c>
      <c r="AT12" s="15">
        <v>29.67326939859694</v>
      </c>
      <c r="AU12" s="15">
        <v>558.70865098292643</v>
      </c>
      <c r="AV12" s="15">
        <v>106.64006786049794</v>
      </c>
      <c r="AW12" s="15">
        <v>106.64006786049794</v>
      </c>
      <c r="AX12" s="15">
        <v>0</v>
      </c>
      <c r="AY12" s="15">
        <v>0</v>
      </c>
      <c r="AZ12" s="15">
        <v>306.01863602348368</v>
      </c>
      <c r="BA12" s="15">
        <v>76.930878417473053</v>
      </c>
      <c r="BB12" s="15">
        <v>95.453232335837768</v>
      </c>
      <c r="BC12" s="15">
        <v>133.63452527017284</v>
      </c>
      <c r="BD12" s="15">
        <v>0</v>
      </c>
      <c r="BE12" s="15">
        <v>146.04994709894487</v>
      </c>
      <c r="BF12" s="15">
        <v>50.728977470006861</v>
      </c>
      <c r="BG12" s="15">
        <v>1.4723613094253218</v>
      </c>
      <c r="BH12" s="15">
        <v>93.848608319512678</v>
      </c>
      <c r="BI12" s="15">
        <v>0</v>
      </c>
      <c r="BJ12" s="15">
        <v>598.87894366548562</v>
      </c>
      <c r="BK12" s="15">
        <v>759.86747014804496</v>
      </c>
      <c r="BL12" s="15">
        <v>2.1974158207312597</v>
      </c>
      <c r="BM12" s="15">
        <v>0.83628638959304669</v>
      </c>
    </row>
    <row r="13" spans="1:65" x14ac:dyDescent="0.35">
      <c r="A13" s="15" t="s">
        <v>10612</v>
      </c>
      <c r="B13" s="15" t="s">
        <v>10455</v>
      </c>
      <c r="C13" s="15" t="s">
        <v>10456</v>
      </c>
      <c r="D13" s="15" t="s">
        <v>10322</v>
      </c>
      <c r="E13" s="15" t="s">
        <v>10614</v>
      </c>
      <c r="F13" s="15">
        <v>73378</v>
      </c>
      <c r="G13" s="15">
        <v>0.89712768972223778</v>
      </c>
      <c r="H13" s="15">
        <v>200</v>
      </c>
      <c r="I13" s="80">
        <v>749.02431720563322</v>
      </c>
      <c r="J13" s="79">
        <v>0.87593173543978953</v>
      </c>
      <c r="K13" s="15">
        <v>30</v>
      </c>
      <c r="L13" s="15">
        <v>91.560620588688693</v>
      </c>
      <c r="M13" s="15">
        <v>17.774656968432353</v>
      </c>
      <c r="N13" s="15">
        <v>25.739401664939734</v>
      </c>
      <c r="O13" s="15">
        <v>4.7976829036356081</v>
      </c>
      <c r="P13" s="15">
        <v>9.966071104900097</v>
      </c>
      <c r="Q13" s="15">
        <v>10.975647656404028</v>
      </c>
      <c r="R13" s="15">
        <v>2.0527172827789437</v>
      </c>
      <c r="S13" s="15">
        <v>4.3014208046851543</v>
      </c>
      <c r="T13" s="15">
        <v>4.6215095689399295</v>
      </c>
      <c r="U13" s="15">
        <v>0</v>
      </c>
      <c r="V13" s="15">
        <v>0</v>
      </c>
      <c r="W13" s="15">
        <v>781.41992120573866</v>
      </c>
      <c r="X13" s="15">
        <v>0</v>
      </c>
      <c r="Y13" s="15">
        <v>949.79301355741711</v>
      </c>
      <c r="Z13" s="15">
        <v>0</v>
      </c>
      <c r="AA13" s="15">
        <v>596.15300000000002</v>
      </c>
      <c r="AB13" s="15">
        <v>53.439</v>
      </c>
      <c r="AC13" s="15">
        <v>300.20101355741713</v>
      </c>
      <c r="AD13" s="15">
        <v>200.76869635178389</v>
      </c>
      <c r="AE13" s="15">
        <v>-11.927837405433962</v>
      </c>
      <c r="AF13" s="15">
        <v>23.561329403779002</v>
      </c>
      <c r="AG13" s="15">
        <v>50.867774163228184</v>
      </c>
      <c r="AH13" s="15">
        <v>0</v>
      </c>
      <c r="AI13" s="15">
        <v>101.46076875000001</v>
      </c>
      <c r="AJ13" s="15">
        <v>0</v>
      </c>
      <c r="AK13" s="15">
        <v>17.449196390210563</v>
      </c>
      <c r="AL13" s="15">
        <v>0</v>
      </c>
      <c r="AM13" s="15">
        <v>19.357465049999998</v>
      </c>
      <c r="AN13" s="15">
        <v>0.66878087443027379</v>
      </c>
      <c r="AO13" s="15">
        <v>749.02431720563322</v>
      </c>
      <c r="AP13" s="15">
        <v>0</v>
      </c>
      <c r="AQ13" s="15">
        <v>0</v>
      </c>
      <c r="AR13" s="15">
        <v>0</v>
      </c>
      <c r="AS13" s="15">
        <v>0</v>
      </c>
      <c r="AT13" s="15">
        <v>0</v>
      </c>
      <c r="AU13" s="15">
        <v>555.52648726216694</v>
      </c>
      <c r="AV13" s="15">
        <v>106.64006786049794</v>
      </c>
      <c r="AW13" s="15">
        <v>106.64006786049794</v>
      </c>
      <c r="AX13" s="15">
        <v>0</v>
      </c>
      <c r="AY13" s="15">
        <v>0</v>
      </c>
      <c r="AZ13" s="15">
        <v>306.01863602348368</v>
      </c>
      <c r="BA13" s="15">
        <v>76.930878417473053</v>
      </c>
      <c r="BB13" s="15">
        <v>95.453232335837768</v>
      </c>
      <c r="BC13" s="15">
        <v>133.63452527017284</v>
      </c>
      <c r="BD13" s="15">
        <v>0</v>
      </c>
      <c r="BE13" s="15">
        <v>142.86778337818538</v>
      </c>
      <c r="BF13" s="15">
        <v>49.612428796056157</v>
      </c>
      <c r="BG13" s="15">
        <v>1.4723613094253218</v>
      </c>
      <c r="BH13" s="15">
        <v>91.782993272703891</v>
      </c>
      <c r="BI13" s="15">
        <v>0</v>
      </c>
      <c r="BJ13" s="15">
        <v>555.52648726216694</v>
      </c>
      <c r="BK13" s="15">
        <v>756.29518361395083</v>
      </c>
      <c r="BL13" s="15">
        <v>2.1855161722531879</v>
      </c>
      <c r="BM13" s="15">
        <v>0.87593173543978953</v>
      </c>
    </row>
    <row r="14" spans="1:65" x14ac:dyDescent="0.35">
      <c r="A14" s="15" t="s">
        <v>10612</v>
      </c>
      <c r="B14" s="15" t="s">
        <v>10455</v>
      </c>
      <c r="C14" s="15" t="s">
        <v>10456</v>
      </c>
      <c r="D14" s="15" t="s">
        <v>10323</v>
      </c>
      <c r="E14" s="15" t="s">
        <v>10615</v>
      </c>
      <c r="F14" s="15">
        <v>73378</v>
      </c>
      <c r="G14" s="15">
        <v>0.89712768972223778</v>
      </c>
      <c r="H14" s="15">
        <v>200</v>
      </c>
      <c r="I14" s="80">
        <v>767.66243948343731</v>
      </c>
      <c r="J14" s="79">
        <v>0.84420203686546325</v>
      </c>
      <c r="K14" s="15">
        <v>30</v>
      </c>
      <c r="L14" s="15">
        <v>91.560620588688693</v>
      </c>
      <c r="M14" s="15">
        <v>17.774656968432353</v>
      </c>
      <c r="N14" s="15">
        <v>25.739401664939734</v>
      </c>
      <c r="O14" s="15">
        <v>4.7976829036356081</v>
      </c>
      <c r="P14" s="15">
        <v>9.966071104900097</v>
      </c>
      <c r="Q14" s="15">
        <v>10.975647656404028</v>
      </c>
      <c r="R14" s="15">
        <v>2.0527172827789437</v>
      </c>
      <c r="S14" s="15">
        <v>4.3014208046851543</v>
      </c>
      <c r="T14" s="15">
        <v>4.6215095689399295</v>
      </c>
      <c r="U14" s="15">
        <v>0</v>
      </c>
      <c r="V14" s="15">
        <v>0</v>
      </c>
      <c r="W14" s="15">
        <v>0</v>
      </c>
      <c r="X14" s="15">
        <v>781419.92120573868</v>
      </c>
      <c r="Y14" s="15">
        <v>949.79301355741711</v>
      </c>
      <c r="Z14" s="15">
        <v>0</v>
      </c>
      <c r="AA14" s="15">
        <v>596.15300000000002</v>
      </c>
      <c r="AB14" s="15">
        <v>53.439</v>
      </c>
      <c r="AC14" s="15">
        <v>300.20101355741713</v>
      </c>
      <c r="AD14" s="15">
        <v>182.1305740739798</v>
      </c>
      <c r="AE14" s="15">
        <v>-11.927837405433962</v>
      </c>
      <c r="AF14" s="15">
        <v>0</v>
      </c>
      <c r="AG14" s="15">
        <v>0</v>
      </c>
      <c r="AH14" s="15">
        <v>0</v>
      </c>
      <c r="AI14" s="15">
        <v>101.46076875000001</v>
      </c>
      <c r="AJ14" s="15">
        <v>0</v>
      </c>
      <c r="AK14" s="15">
        <v>73.240177679413733</v>
      </c>
      <c r="AL14" s="15">
        <v>0</v>
      </c>
      <c r="AM14" s="15">
        <v>19.357465049999998</v>
      </c>
      <c r="AN14" s="15">
        <v>0.60669540024436019</v>
      </c>
      <c r="AO14" s="15">
        <v>767.66243948343731</v>
      </c>
      <c r="AP14" s="15">
        <v>0</v>
      </c>
      <c r="AQ14" s="15">
        <v>0</v>
      </c>
      <c r="AR14" s="15">
        <v>0</v>
      </c>
      <c r="AS14" s="15">
        <v>0</v>
      </c>
      <c r="AT14" s="15">
        <v>0</v>
      </c>
      <c r="AU14" s="15">
        <v>566.13263452046556</v>
      </c>
      <c r="AV14" s="15">
        <v>106.64006786049794</v>
      </c>
      <c r="AW14" s="15">
        <v>106.64006786049794</v>
      </c>
      <c r="AX14" s="15">
        <v>0</v>
      </c>
      <c r="AY14" s="15">
        <v>0</v>
      </c>
      <c r="AZ14" s="15">
        <v>306.01863602348368</v>
      </c>
      <c r="BA14" s="15">
        <v>76.930878417473053</v>
      </c>
      <c r="BB14" s="15">
        <v>95.453232335837768</v>
      </c>
      <c r="BC14" s="15">
        <v>133.63452527017284</v>
      </c>
      <c r="BD14" s="15">
        <v>0</v>
      </c>
      <c r="BE14" s="15">
        <v>153.47393063648391</v>
      </c>
      <c r="BF14" s="15">
        <v>53.333883974406525</v>
      </c>
      <c r="BG14" s="15">
        <v>1.4723613094253218</v>
      </c>
      <c r="BH14" s="15">
        <v>98.667685352652072</v>
      </c>
      <c r="BI14" s="15">
        <v>0</v>
      </c>
      <c r="BJ14" s="15">
        <v>566.13263452046556</v>
      </c>
      <c r="BK14" s="15">
        <v>748.26320859444536</v>
      </c>
      <c r="BL14" s="15">
        <v>2.1587608494635493</v>
      </c>
      <c r="BM14" s="15">
        <v>0.84420203686546325</v>
      </c>
    </row>
    <row r="15" spans="1:65" x14ac:dyDescent="0.35">
      <c r="A15" s="15" t="s">
        <v>10612</v>
      </c>
      <c r="B15" s="15" t="s">
        <v>10455</v>
      </c>
      <c r="C15" s="15" t="s">
        <v>10456</v>
      </c>
      <c r="D15" s="15" t="s">
        <v>10324</v>
      </c>
      <c r="E15" s="15" t="s">
        <v>10616</v>
      </c>
      <c r="F15" s="15">
        <v>73378</v>
      </c>
      <c r="G15" s="15">
        <v>0.89712768972223778</v>
      </c>
      <c r="H15" s="15">
        <v>200</v>
      </c>
      <c r="I15" s="80">
        <v>809.37363446045322</v>
      </c>
      <c r="J15" s="79">
        <v>0.71213974811396863</v>
      </c>
      <c r="K15" s="15">
        <v>30</v>
      </c>
      <c r="L15" s="15">
        <v>92.719086433395333</v>
      </c>
      <c r="M15" s="15">
        <v>17.299349651648942</v>
      </c>
      <c r="N15" s="15">
        <v>25.739401664939734</v>
      </c>
      <c r="O15" s="15">
        <v>3.616900721957331</v>
      </c>
      <c r="P15" s="15">
        <v>10.387779026928055</v>
      </c>
      <c r="Q15" s="15">
        <v>11.734721916054349</v>
      </c>
      <c r="R15" s="15">
        <v>2.0527172827789437</v>
      </c>
      <c r="S15" s="15">
        <v>5.060495064335476</v>
      </c>
      <c r="T15" s="15">
        <v>4.6215095689399295</v>
      </c>
      <c r="U15" s="15">
        <v>0</v>
      </c>
      <c r="V15" s="15">
        <v>0</v>
      </c>
      <c r="W15" s="15">
        <v>0</v>
      </c>
      <c r="X15" s="15">
        <v>0</v>
      </c>
      <c r="Y15" s="15">
        <v>917.19617534542658</v>
      </c>
      <c r="Z15" s="15">
        <v>0</v>
      </c>
      <c r="AA15" s="15">
        <v>596.15300000000002</v>
      </c>
      <c r="AB15" s="15">
        <v>53.439</v>
      </c>
      <c r="AC15" s="15">
        <v>267.60417534542665</v>
      </c>
      <c r="AD15" s="15">
        <v>107.82254088497336</v>
      </c>
      <c r="AE15" s="15">
        <v>-12.995692915026606</v>
      </c>
      <c r="AF15" s="15">
        <v>0</v>
      </c>
      <c r="AG15" s="15">
        <v>0</v>
      </c>
      <c r="AH15" s="15">
        <v>0</v>
      </c>
      <c r="AI15" s="15">
        <v>101.46076875000001</v>
      </c>
      <c r="AJ15" s="15">
        <v>0</v>
      </c>
      <c r="AK15" s="15">
        <v>0</v>
      </c>
      <c r="AL15" s="15">
        <v>0</v>
      </c>
      <c r="AM15" s="15">
        <v>19.357465049999998</v>
      </c>
      <c r="AN15" s="15">
        <v>0.40291800658862942</v>
      </c>
      <c r="AO15" s="15">
        <v>809.37363446045322</v>
      </c>
      <c r="AP15" s="15">
        <v>0</v>
      </c>
      <c r="AQ15" s="15">
        <v>0</v>
      </c>
      <c r="AR15" s="15">
        <v>0</v>
      </c>
      <c r="AS15" s="15">
        <v>0</v>
      </c>
      <c r="AT15" s="15">
        <v>0</v>
      </c>
      <c r="AU15" s="15">
        <v>536.16877063520769</v>
      </c>
      <c r="AV15" s="15">
        <v>103.02888585239354</v>
      </c>
      <c r="AW15" s="15">
        <v>103.02888585239354</v>
      </c>
      <c r="AX15" s="15">
        <v>0</v>
      </c>
      <c r="AY15" s="15">
        <v>0</v>
      </c>
      <c r="AZ15" s="15">
        <v>284.26905871640753</v>
      </c>
      <c r="BA15" s="15">
        <v>76.930878417473053</v>
      </c>
      <c r="BB15" s="15">
        <v>86.390908457889353</v>
      </c>
      <c r="BC15" s="15">
        <v>120.94727184104509</v>
      </c>
      <c r="BD15" s="15">
        <v>0</v>
      </c>
      <c r="BE15" s="15">
        <v>148.87082606640666</v>
      </c>
      <c r="BF15" s="15">
        <v>51.718759563853098</v>
      </c>
      <c r="BG15" s="15">
        <v>1.4723613094253218</v>
      </c>
      <c r="BH15" s="15">
        <v>95.679705193128228</v>
      </c>
      <c r="BI15" s="15">
        <v>0</v>
      </c>
      <c r="BJ15" s="15">
        <v>536.16877063520769</v>
      </c>
      <c r="BK15" s="15">
        <v>643.99131152018106</v>
      </c>
      <c r="BL15" s="15">
        <v>2.1538794580867324</v>
      </c>
      <c r="BM15" s="15">
        <v>0.71213974811396863</v>
      </c>
    </row>
    <row r="16" spans="1:65" x14ac:dyDescent="0.35">
      <c r="A16" s="15" t="s">
        <v>10612</v>
      </c>
      <c r="B16" s="15" t="s">
        <v>10455</v>
      </c>
      <c r="C16" s="15" t="s">
        <v>10456</v>
      </c>
      <c r="D16" s="15" t="s">
        <v>10325</v>
      </c>
      <c r="E16" s="15" t="s">
        <v>10617</v>
      </c>
      <c r="F16" s="15">
        <v>73378</v>
      </c>
      <c r="G16" s="15">
        <v>0.89712768972223778</v>
      </c>
      <c r="H16" s="15">
        <v>200</v>
      </c>
      <c r="I16" s="80">
        <v>854.05045438205821</v>
      </c>
      <c r="J16" s="79">
        <v>0.63540281176287583</v>
      </c>
      <c r="K16" s="15">
        <v>30</v>
      </c>
      <c r="L16" s="15">
        <v>87.248083091735197</v>
      </c>
      <c r="M16" s="15">
        <v>16.543281710255041</v>
      </c>
      <c r="N16" s="15">
        <v>25.739401664939734</v>
      </c>
      <c r="O16" s="15">
        <v>5.7681355646088317</v>
      </c>
      <c r="P16" s="15">
        <v>9.0041574904292183</v>
      </c>
      <c r="Q16" s="15">
        <v>10.967108609901684</v>
      </c>
      <c r="R16" s="15">
        <v>2.0527172827789437</v>
      </c>
      <c r="S16" s="15">
        <v>0</v>
      </c>
      <c r="T16" s="15">
        <v>8.9143913271227433</v>
      </c>
      <c r="U16" s="15">
        <v>0</v>
      </c>
      <c r="V16" s="15">
        <v>0</v>
      </c>
      <c r="W16" s="15">
        <v>0</v>
      </c>
      <c r="X16" s="15">
        <v>0</v>
      </c>
      <c r="Y16" s="15">
        <v>980.64765178408584</v>
      </c>
      <c r="Z16" s="15">
        <v>0</v>
      </c>
      <c r="AA16" s="15">
        <v>596.15300000000002</v>
      </c>
      <c r="AB16" s="15">
        <v>53.439</v>
      </c>
      <c r="AC16" s="15">
        <v>331.05565178408585</v>
      </c>
      <c r="AD16" s="15">
        <v>126.59719740202763</v>
      </c>
      <c r="AE16" s="15">
        <v>-12.202024505472439</v>
      </c>
      <c r="AF16" s="15">
        <v>0</v>
      </c>
      <c r="AG16" s="15">
        <v>0</v>
      </c>
      <c r="AH16" s="15">
        <v>0</v>
      </c>
      <c r="AI16" s="15">
        <v>101.46076875000001</v>
      </c>
      <c r="AJ16" s="15">
        <v>0</v>
      </c>
      <c r="AK16" s="15">
        <v>0</v>
      </c>
      <c r="AL16" s="15">
        <v>0</v>
      </c>
      <c r="AM16" s="15">
        <v>37.338453157500005</v>
      </c>
      <c r="AN16" s="15">
        <v>0.38240457977317416</v>
      </c>
      <c r="AO16" s="15">
        <v>854.05045438205821</v>
      </c>
      <c r="AP16" s="15">
        <v>0</v>
      </c>
      <c r="AQ16" s="15">
        <v>0</v>
      </c>
      <c r="AR16" s="15">
        <v>0</v>
      </c>
      <c r="AS16" s="15">
        <v>0</v>
      </c>
      <c r="AT16" s="15">
        <v>0</v>
      </c>
      <c r="AU16" s="15">
        <v>547.12451448377976</v>
      </c>
      <c r="AV16" s="15">
        <v>115.13445890136136</v>
      </c>
      <c r="AW16" s="15">
        <v>115.13445890136136</v>
      </c>
      <c r="AX16" s="15">
        <v>0</v>
      </c>
      <c r="AY16" s="15">
        <v>0</v>
      </c>
      <c r="AZ16" s="15">
        <v>273.81540532293593</v>
      </c>
      <c r="BA16" s="15">
        <v>76.930878417473053</v>
      </c>
      <c r="BB16" s="15">
        <v>82.035219543942858</v>
      </c>
      <c r="BC16" s="15">
        <v>114.84930736151999</v>
      </c>
      <c r="BD16" s="15">
        <v>0</v>
      </c>
      <c r="BE16" s="15">
        <v>158.17465025948246</v>
      </c>
      <c r="BF16" s="15">
        <v>54.983259280721803</v>
      </c>
      <c r="BG16" s="15">
        <v>1.4723613094253218</v>
      </c>
      <c r="BH16" s="15">
        <v>101.71902966933533</v>
      </c>
      <c r="BI16" s="15">
        <v>0</v>
      </c>
      <c r="BJ16" s="15">
        <v>547.12451448377976</v>
      </c>
      <c r="BK16" s="15">
        <v>673.72171188580739</v>
      </c>
      <c r="BL16" s="15">
        <v>1.6391988995724736</v>
      </c>
      <c r="BM16" s="15">
        <v>0.63540281176287583</v>
      </c>
    </row>
    <row r="17" spans="1:65" x14ac:dyDescent="0.35">
      <c r="A17" s="15" t="s">
        <v>10612</v>
      </c>
      <c r="B17" s="15" t="s">
        <v>10455</v>
      </c>
      <c r="C17" s="15" t="s">
        <v>10456</v>
      </c>
      <c r="D17" s="15" t="s">
        <v>10326</v>
      </c>
      <c r="E17" s="15" t="s">
        <v>10618</v>
      </c>
      <c r="F17" s="15">
        <v>73378</v>
      </c>
      <c r="G17" s="15">
        <v>0.89712768972223778</v>
      </c>
      <c r="H17" s="15">
        <v>200</v>
      </c>
      <c r="I17" s="80">
        <v>793.33319309225919</v>
      </c>
      <c r="J17" s="79">
        <v>1.2484894400348823</v>
      </c>
      <c r="K17" s="15">
        <v>30</v>
      </c>
      <c r="L17" s="15">
        <v>85.345489880193526</v>
      </c>
      <c r="M17" s="15">
        <v>16.028041553657353</v>
      </c>
      <c r="N17" s="15">
        <v>25.739401664939734</v>
      </c>
      <c r="O17" s="15">
        <v>18.81034839829945</v>
      </c>
      <c r="P17" s="15">
        <v>4.7373368764321588</v>
      </c>
      <c r="Q17" s="15">
        <v>2.1917163902081285</v>
      </c>
      <c r="R17" s="15">
        <v>2.1917163902081285</v>
      </c>
      <c r="S17" s="15">
        <v>0</v>
      </c>
      <c r="T17" s="15">
        <v>0</v>
      </c>
      <c r="U17" s="15">
        <v>16320.554457048042</v>
      </c>
      <c r="V17" s="15">
        <v>0</v>
      </c>
      <c r="W17" s="15">
        <v>0</v>
      </c>
      <c r="X17" s="15">
        <v>0</v>
      </c>
      <c r="Y17" s="15">
        <v>1265.2928734984678</v>
      </c>
      <c r="Z17" s="15">
        <v>0</v>
      </c>
      <c r="AA17" s="15">
        <v>596.15300000000002</v>
      </c>
      <c r="AB17" s="15">
        <v>53.439</v>
      </c>
      <c r="AC17" s="15">
        <v>615.70087349846779</v>
      </c>
      <c r="AD17" s="15">
        <v>471.95968040620858</v>
      </c>
      <c r="AE17" s="15">
        <v>8.4518747298132286</v>
      </c>
      <c r="AF17" s="15">
        <v>0</v>
      </c>
      <c r="AG17" s="15">
        <v>0</v>
      </c>
      <c r="AH17" s="15">
        <v>340.50744744695282</v>
      </c>
      <c r="AI17" s="15">
        <v>123.00035822944253</v>
      </c>
      <c r="AJ17" s="15">
        <v>0</v>
      </c>
      <c r="AK17" s="15">
        <v>0</v>
      </c>
      <c r="AL17" s="15">
        <v>0</v>
      </c>
      <c r="AM17" s="15">
        <v>0</v>
      </c>
      <c r="AN17" s="15">
        <v>0.76654054057856247</v>
      </c>
      <c r="AO17" s="15">
        <v>793.33319309225919</v>
      </c>
      <c r="AP17" s="15">
        <v>348.95932217676608</v>
      </c>
      <c r="AQ17" s="15">
        <v>8.4518747298132286</v>
      </c>
      <c r="AR17" s="15">
        <v>0</v>
      </c>
      <c r="AS17" s="15">
        <v>0</v>
      </c>
      <c r="AT17" s="15">
        <v>340.50744744695282</v>
      </c>
      <c r="AU17" s="15">
        <v>585.24998492033285</v>
      </c>
      <c r="AV17" s="15">
        <v>158.25416765936461</v>
      </c>
      <c r="AW17" s="15">
        <v>158.25416765936461</v>
      </c>
      <c r="AX17" s="15">
        <v>0</v>
      </c>
      <c r="AY17" s="15">
        <v>0</v>
      </c>
      <c r="AZ17" s="15">
        <v>278.15488441013269</v>
      </c>
      <c r="BA17" s="15">
        <v>82.718698010625403</v>
      </c>
      <c r="BB17" s="15">
        <v>81.431744333128037</v>
      </c>
      <c r="BC17" s="15">
        <v>114.00444206637926</v>
      </c>
      <c r="BD17" s="15">
        <v>0</v>
      </c>
      <c r="BE17" s="15">
        <v>148.84093285083557</v>
      </c>
      <c r="BF17" s="15">
        <v>51.669403464756378</v>
      </c>
      <c r="BG17" s="15">
        <v>1.583132976279912</v>
      </c>
      <c r="BH17" s="15">
        <v>95.588396409799287</v>
      </c>
      <c r="BI17" s="15">
        <v>0</v>
      </c>
      <c r="BJ17" s="15">
        <v>934.20930709709887</v>
      </c>
      <c r="BK17" s="15">
        <v>1406.1689875033076</v>
      </c>
      <c r="BL17" s="15">
        <v>1.6086839513104974</v>
      </c>
      <c r="BM17" s="15">
        <v>1.2484894400348823</v>
      </c>
    </row>
    <row r="18" spans="1:65" x14ac:dyDescent="0.35">
      <c r="A18" s="15" t="s">
        <v>10612</v>
      </c>
      <c r="B18" s="15" t="s">
        <v>10455</v>
      </c>
      <c r="C18" s="15" t="s">
        <v>10456</v>
      </c>
      <c r="D18" s="15" t="s">
        <v>10327</v>
      </c>
      <c r="E18" s="15" t="s">
        <v>10619</v>
      </c>
      <c r="F18" s="15">
        <v>73378</v>
      </c>
      <c r="G18" s="15">
        <v>0.89712768972223778</v>
      </c>
      <c r="H18" s="15">
        <v>200</v>
      </c>
      <c r="I18" s="80">
        <v>1801.5226144356373</v>
      </c>
      <c r="J18" s="81">
        <v>0.12657292250856911</v>
      </c>
      <c r="K18" s="15">
        <v>30</v>
      </c>
      <c r="L18" s="15">
        <v>91.615066678184732</v>
      </c>
      <c r="M18" s="15">
        <v>24.382523964240875</v>
      </c>
      <c r="N18" s="15">
        <v>25.739401664939734</v>
      </c>
      <c r="O18" s="15">
        <v>18.81034839829945</v>
      </c>
      <c r="P18" s="15">
        <v>4.7373368764321588</v>
      </c>
      <c r="Q18" s="15">
        <v>2.1917163902081285</v>
      </c>
      <c r="R18" s="15">
        <v>2.1917163902081285</v>
      </c>
      <c r="S18" s="15">
        <v>0</v>
      </c>
      <c r="T18" s="15">
        <v>0</v>
      </c>
      <c r="U18" s="15">
        <v>16320.554457048042</v>
      </c>
      <c r="V18" s="15">
        <v>0</v>
      </c>
      <c r="W18" s="15">
        <v>0</v>
      </c>
      <c r="X18" s="15">
        <v>0</v>
      </c>
      <c r="Y18" s="15">
        <v>2158.9709805379803</v>
      </c>
      <c r="Z18" s="15">
        <v>0</v>
      </c>
      <c r="AA18" s="15">
        <v>596.15300000000002</v>
      </c>
      <c r="AB18" s="15">
        <v>53.439</v>
      </c>
      <c r="AC18" s="15">
        <v>1509.3789805379802</v>
      </c>
      <c r="AD18" s="15">
        <v>357.44836610234302</v>
      </c>
      <c r="AE18" s="15">
        <v>17.703574761252238</v>
      </c>
      <c r="AF18" s="15">
        <v>0</v>
      </c>
      <c r="AG18" s="15">
        <v>0</v>
      </c>
      <c r="AH18" s="15">
        <v>216.74443311164825</v>
      </c>
      <c r="AI18" s="15">
        <v>123.00035822944253</v>
      </c>
      <c r="AJ18" s="15">
        <v>0</v>
      </c>
      <c r="AK18" s="15">
        <v>0</v>
      </c>
      <c r="AL18" s="15">
        <v>0</v>
      </c>
      <c r="AM18" s="15">
        <v>0</v>
      </c>
      <c r="AN18" s="15">
        <v>0.23681816873780734</v>
      </c>
      <c r="AO18" s="15">
        <v>1801.5226144356373</v>
      </c>
      <c r="AP18" s="15">
        <v>234.44800787290049</v>
      </c>
      <c r="AQ18" s="15">
        <v>17.703574761252238</v>
      </c>
      <c r="AR18" s="15">
        <v>0</v>
      </c>
      <c r="AS18" s="15">
        <v>0</v>
      </c>
      <c r="AT18" s="15">
        <v>216.74443311164825</v>
      </c>
      <c r="AU18" s="15">
        <v>945.50658883713345</v>
      </c>
      <c r="AV18" s="15">
        <v>158.25416765936461</v>
      </c>
      <c r="AW18" s="15">
        <v>158.25416765936461</v>
      </c>
      <c r="AX18" s="15">
        <v>0</v>
      </c>
      <c r="AY18" s="15">
        <v>0</v>
      </c>
      <c r="AZ18" s="15">
        <v>494.7444957855019</v>
      </c>
      <c r="BA18" s="15">
        <v>82.718698010625403</v>
      </c>
      <c r="BB18" s="15">
        <v>171.67741573953188</v>
      </c>
      <c r="BC18" s="15">
        <v>240.34838203534463</v>
      </c>
      <c r="BD18" s="15">
        <v>0</v>
      </c>
      <c r="BE18" s="15">
        <v>292.507925392267</v>
      </c>
      <c r="BF18" s="15">
        <v>102.07887453192529</v>
      </c>
      <c r="BG18" s="15">
        <v>1.583132976279912</v>
      </c>
      <c r="BH18" s="15">
        <v>188.84591788406178</v>
      </c>
      <c r="BI18" s="15">
        <v>0</v>
      </c>
      <c r="BJ18" s="15">
        <v>1179.9545967100339</v>
      </c>
      <c r="BK18" s="15">
        <v>1537.4029628123769</v>
      </c>
      <c r="BL18" s="15">
        <v>0.15107139109166828</v>
      </c>
      <c r="BM18" s="15">
        <v>0.12657292250856911</v>
      </c>
    </row>
    <row r="19" spans="1:65" s="60" customFormat="1" x14ac:dyDescent="0.35">
      <c r="A19" s="59" t="s">
        <v>10612</v>
      </c>
      <c r="B19" s="59" t="s">
        <v>10455</v>
      </c>
      <c r="C19" s="59" t="s">
        <v>10609</v>
      </c>
      <c r="D19" s="59" t="s">
        <v>10322</v>
      </c>
      <c r="E19" s="59" t="s">
        <v>10620</v>
      </c>
      <c r="F19" s="59">
        <v>73378</v>
      </c>
      <c r="G19" s="59">
        <v>0.89712768972223778</v>
      </c>
      <c r="H19" s="59">
        <v>200</v>
      </c>
      <c r="I19" s="59">
        <v>749.02431720563322</v>
      </c>
      <c r="J19" s="88">
        <v>0.87593173543978953</v>
      </c>
      <c r="K19" s="59">
        <v>30</v>
      </c>
      <c r="L19" s="59">
        <v>91.560620588688693</v>
      </c>
      <c r="M19" s="59">
        <v>17.774656968432353</v>
      </c>
      <c r="N19" s="59">
        <v>25.739401664939734</v>
      </c>
      <c r="O19" s="59">
        <v>4.7976829036356081</v>
      </c>
      <c r="P19" s="59">
        <v>9.966071104900097</v>
      </c>
      <c r="Q19" s="59">
        <v>10.975647656404028</v>
      </c>
      <c r="R19" s="59">
        <v>2.0527172827789437</v>
      </c>
      <c r="S19" s="59">
        <v>4.3014208046851543</v>
      </c>
      <c r="T19" s="59">
        <v>4.6215095689399295</v>
      </c>
      <c r="U19" s="59">
        <v>0</v>
      </c>
      <c r="V19" s="59">
        <v>0</v>
      </c>
      <c r="W19" s="59">
        <v>781.41992120573866</v>
      </c>
      <c r="X19" s="59">
        <v>0</v>
      </c>
      <c r="Y19" s="59">
        <v>949.79301355741711</v>
      </c>
      <c r="Z19" s="59">
        <v>0</v>
      </c>
      <c r="AA19" s="59">
        <v>596.15300000000002</v>
      </c>
      <c r="AB19" s="59">
        <v>53.439</v>
      </c>
      <c r="AC19" s="59">
        <v>300.20101355741713</v>
      </c>
      <c r="AD19" s="59">
        <v>200.76869635178389</v>
      </c>
      <c r="AE19" s="59">
        <v>-11.927837405433962</v>
      </c>
      <c r="AF19" s="59">
        <v>23.561329403779002</v>
      </c>
      <c r="AG19" s="59">
        <v>50.867774163228184</v>
      </c>
      <c r="AH19" s="59">
        <v>0</v>
      </c>
      <c r="AI19" s="59">
        <v>101.46076875000001</v>
      </c>
      <c r="AJ19" s="59">
        <v>0</v>
      </c>
      <c r="AK19" s="59">
        <v>17.449196390210563</v>
      </c>
      <c r="AL19" s="59">
        <v>0</v>
      </c>
      <c r="AM19" s="59">
        <v>19.357465049999998</v>
      </c>
      <c r="AN19" s="59">
        <v>0.66878087443027379</v>
      </c>
      <c r="AO19" s="59">
        <v>749.02431720563322</v>
      </c>
      <c r="AP19" s="59">
        <v>0</v>
      </c>
      <c r="AQ19" s="59">
        <v>0</v>
      </c>
      <c r="AR19" s="59">
        <v>0</v>
      </c>
      <c r="AS19" s="59">
        <v>0</v>
      </c>
      <c r="AT19" s="59">
        <v>0</v>
      </c>
      <c r="AU19" s="59">
        <v>555.52648726216694</v>
      </c>
      <c r="AV19" s="59">
        <v>106.64006786049794</v>
      </c>
      <c r="AW19" s="59">
        <v>106.64006786049794</v>
      </c>
      <c r="AX19" s="59">
        <v>0</v>
      </c>
      <c r="AY19" s="59">
        <v>0</v>
      </c>
      <c r="AZ19" s="59">
        <v>306.01863602348368</v>
      </c>
      <c r="BA19" s="59">
        <v>76.930878417473053</v>
      </c>
      <c r="BB19" s="59">
        <v>95.453232335837768</v>
      </c>
      <c r="BC19" s="59">
        <v>133.63452527017284</v>
      </c>
      <c r="BD19" s="59">
        <v>0</v>
      </c>
      <c r="BE19" s="59">
        <v>142.86778337818538</v>
      </c>
      <c r="BF19" s="59">
        <v>49.612428796056157</v>
      </c>
      <c r="BG19" s="59">
        <v>1.4723613094253218</v>
      </c>
      <c r="BH19" s="59">
        <v>91.782993272703891</v>
      </c>
      <c r="BI19" s="59">
        <v>0</v>
      </c>
      <c r="BJ19" s="59">
        <v>555.52648726216694</v>
      </c>
      <c r="BK19" s="59">
        <v>756.29518361395083</v>
      </c>
      <c r="BL19" s="59">
        <v>2.1855161722531879</v>
      </c>
      <c r="BM19" s="59">
        <v>0.87593173543978953</v>
      </c>
    </row>
    <row r="20" spans="1:65" s="56" customFormat="1" x14ac:dyDescent="0.35">
      <c r="A20" s="55" t="s">
        <v>10612</v>
      </c>
      <c r="B20" s="55" t="s">
        <v>10611</v>
      </c>
      <c r="C20" s="55" t="s">
        <v>9780</v>
      </c>
      <c r="D20" s="55" t="s">
        <v>9780</v>
      </c>
      <c r="E20" s="55" t="s">
        <v>10011</v>
      </c>
      <c r="F20" s="55">
        <f>F19</f>
        <v>73378</v>
      </c>
      <c r="G20" s="55">
        <f>G19</f>
        <v>0.89712768972223778</v>
      </c>
      <c r="H20" s="55">
        <f>(H19*N19)/(N19)</f>
        <v>200</v>
      </c>
      <c r="I20" s="55">
        <f>(I19*N19)/(N19)</f>
        <v>749.02431720563322</v>
      </c>
      <c r="J20" s="89">
        <f>(J19*N19)/(N19)</f>
        <v>0.87593173543978953</v>
      </c>
      <c r="K20" s="55">
        <f t="shared" ref="K20:W20" si="1">K19</f>
        <v>30</v>
      </c>
      <c r="L20" s="55">
        <f t="shared" si="1"/>
        <v>91.560620588688693</v>
      </c>
      <c r="M20" s="55">
        <f t="shared" si="1"/>
        <v>17.774656968432353</v>
      </c>
      <c r="N20" s="55">
        <f t="shared" si="1"/>
        <v>25.739401664939734</v>
      </c>
      <c r="O20" s="55">
        <f t="shared" si="1"/>
        <v>4.7976829036356081</v>
      </c>
      <c r="P20" s="55">
        <f t="shared" si="1"/>
        <v>9.966071104900097</v>
      </c>
      <c r="Q20" s="55">
        <f t="shared" si="1"/>
        <v>10.975647656404028</v>
      </c>
      <c r="R20" s="55">
        <f t="shared" si="1"/>
        <v>2.0527172827789437</v>
      </c>
      <c r="S20" s="55">
        <f t="shared" si="1"/>
        <v>4.3014208046851543</v>
      </c>
      <c r="T20" s="55">
        <f t="shared" si="1"/>
        <v>4.6215095689399295</v>
      </c>
      <c r="U20" s="55">
        <f t="shared" si="1"/>
        <v>0</v>
      </c>
      <c r="V20" s="55">
        <f t="shared" si="1"/>
        <v>0</v>
      </c>
      <c r="W20" s="55">
        <f t="shared" si="1"/>
        <v>781.41992120573866</v>
      </c>
      <c r="X20" s="55">
        <f>(X19*N19)/(N19)</f>
        <v>0</v>
      </c>
      <c r="Y20" s="55">
        <f>(Y19*N19)/(N19)</f>
        <v>949.79301355741711</v>
      </c>
      <c r="Z20" s="55">
        <f>(Z19*N19)/(N19)</f>
        <v>0</v>
      </c>
      <c r="AA20" s="55">
        <f>(AA19*N19)/(N19)</f>
        <v>596.15300000000002</v>
      </c>
      <c r="AB20" s="55">
        <f>(AB19*N19)/(N19)</f>
        <v>53.439</v>
      </c>
      <c r="AC20" s="55">
        <f>(AC19*N19)/(N19)</f>
        <v>300.20101355741713</v>
      </c>
      <c r="AD20" s="55">
        <f>(AD19*N19)/(N19)</f>
        <v>200.76869635178389</v>
      </c>
      <c r="AE20" s="55">
        <f>(AE19*N19)/(N19)</f>
        <v>-11.927837405433962</v>
      </c>
      <c r="AF20" s="55">
        <f>(AF19*N19)/(N19)</f>
        <v>23.561329403778998</v>
      </c>
      <c r="AG20" s="55">
        <f>(AG19*N19)/(N19)</f>
        <v>50.867774163228184</v>
      </c>
      <c r="AH20" s="55">
        <f>(AH19*N19)/(N19)</f>
        <v>0</v>
      </c>
      <c r="AI20" s="55">
        <f>(AI19*N19)/(N19)</f>
        <v>101.46076875000001</v>
      </c>
      <c r="AJ20" s="55">
        <f>(AJ19*N19)/(N19)</f>
        <v>0</v>
      </c>
      <c r="AK20" s="55">
        <f>(AK19*N19)/(N19)</f>
        <v>17.449196390210563</v>
      </c>
      <c r="AL20" s="55">
        <f>(AL19*N19)/(N19)</f>
        <v>0</v>
      </c>
      <c r="AM20" s="55">
        <f>(AM19*N19)/(N19)</f>
        <v>19.357465049999998</v>
      </c>
      <c r="AN20" s="55">
        <f>(AN19*N19)/(N19)</f>
        <v>0.66878087443027379</v>
      </c>
      <c r="AO20" s="55">
        <f>(AO19*N19)/(N19)</f>
        <v>749.02431720563322</v>
      </c>
      <c r="AP20" s="55">
        <f>(AP19*N19)/(N19)</f>
        <v>0</v>
      </c>
      <c r="AQ20" s="55">
        <f>(AQ19*N19)/(N19)</f>
        <v>0</v>
      </c>
      <c r="AR20" s="55">
        <f>(AR19*N19)/(N19)</f>
        <v>0</v>
      </c>
      <c r="AS20" s="55">
        <f>(AS19*N19)/(N19)</f>
        <v>0</v>
      </c>
      <c r="AT20" s="55">
        <f>(AT19*N19)/(N19)</f>
        <v>0</v>
      </c>
      <c r="AU20" s="55">
        <f>(AU19*N19)/(N19)</f>
        <v>555.52648726216694</v>
      </c>
      <c r="AV20" s="55">
        <f>(AV19*N19)/(N19)</f>
        <v>106.64006786049795</v>
      </c>
      <c r="AW20" s="55">
        <f>(AW19*N19)/(N19)</f>
        <v>106.64006786049795</v>
      </c>
      <c r="AX20" s="55">
        <f>(AX19*N19)/(N19)</f>
        <v>0</v>
      </c>
      <c r="AY20" s="55">
        <f>(AY19*N19)/(N19)</f>
        <v>0</v>
      </c>
      <c r="AZ20" s="55">
        <f>(AZ19*N19)/(N19)</f>
        <v>306.01863602348368</v>
      </c>
      <c r="BA20" s="55">
        <f>(BA19*N19)/(N19)</f>
        <v>76.930878417473053</v>
      </c>
      <c r="BB20" s="55">
        <f>(BB19*N19)/(N19)</f>
        <v>95.453232335837782</v>
      </c>
      <c r="BC20" s="55">
        <f>(BC19*N19)/(N19)</f>
        <v>133.63452527017284</v>
      </c>
      <c r="BD20" s="55">
        <f>(BD19*N19)/(N19)</f>
        <v>0</v>
      </c>
      <c r="BE20" s="55">
        <f>(BE19*N19)/(N19)</f>
        <v>142.86778337818538</v>
      </c>
      <c r="BF20" s="55">
        <f>(BF19*N19)/(N19)</f>
        <v>49.612428796056157</v>
      </c>
      <c r="BG20" s="55">
        <f>(BG19*N19)/(N19)</f>
        <v>1.4723613094253218</v>
      </c>
      <c r="BH20" s="55">
        <f>(BH19*N19)/(N19)</f>
        <v>91.782993272703891</v>
      </c>
      <c r="BI20" s="55">
        <f>(BI19*N19)/(N19)</f>
        <v>0</v>
      </c>
      <c r="BJ20" s="55">
        <f>(BJ19*N19)/(N19)</f>
        <v>555.52648726216694</v>
      </c>
      <c r="BK20" s="55">
        <f>(BK19*N19)/(N19)</f>
        <v>756.29518361395083</v>
      </c>
      <c r="BL20" s="55">
        <f>(BL19*N19)/(N19)</f>
        <v>2.1855161722531879</v>
      </c>
      <c r="BM20" s="55">
        <f>(BM19*N19)/(N19)</f>
        <v>0.87593173543978953</v>
      </c>
    </row>
    <row r="21" spans="1:65" x14ac:dyDescent="0.35">
      <c r="A21" s="15" t="s">
        <v>10621</v>
      </c>
      <c r="B21" s="15" t="s">
        <v>10455</v>
      </c>
      <c r="C21" s="15" t="s">
        <v>10456</v>
      </c>
      <c r="D21" s="15" t="s">
        <v>10321</v>
      </c>
      <c r="E21" s="15" t="s">
        <v>10622</v>
      </c>
      <c r="F21" s="15">
        <v>73378</v>
      </c>
      <c r="G21" s="15">
        <v>0.89712768972223778</v>
      </c>
      <c r="H21" s="15">
        <v>200</v>
      </c>
      <c r="I21" s="80">
        <v>754.72295212485778</v>
      </c>
      <c r="J21" s="79">
        <v>0.71625771776413638</v>
      </c>
      <c r="K21" s="15">
        <v>30</v>
      </c>
      <c r="L21" s="15">
        <v>59.736315594774261</v>
      </c>
      <c r="M21" s="15">
        <v>14.573926322454408</v>
      </c>
      <c r="N21" s="15">
        <v>25.739401664939734</v>
      </c>
      <c r="O21" s="15">
        <v>4.7976829036356081</v>
      </c>
      <c r="P21" s="15">
        <v>9.966071104900097</v>
      </c>
      <c r="Q21" s="15">
        <v>10.975647656404028</v>
      </c>
      <c r="R21" s="15">
        <v>2.0527172827789437</v>
      </c>
      <c r="S21" s="15">
        <v>4.3014208046851543</v>
      </c>
      <c r="T21" s="15">
        <v>4.6215095689399295</v>
      </c>
      <c r="U21" s="15">
        <v>0</v>
      </c>
      <c r="V21" s="15">
        <v>3125.6796848229546</v>
      </c>
      <c r="W21" s="15">
        <v>0</v>
      </c>
      <c r="X21" s="15">
        <v>0</v>
      </c>
      <c r="Y21" s="15">
        <v>896.35401355741715</v>
      </c>
      <c r="Z21" s="15">
        <v>0</v>
      </c>
      <c r="AA21" s="15">
        <v>596.15300000000002</v>
      </c>
      <c r="AB21" s="15">
        <v>0</v>
      </c>
      <c r="AC21" s="15">
        <v>300.20101355741713</v>
      </c>
      <c r="AD21" s="15">
        <v>141.63106143255936</v>
      </c>
      <c r="AE21" s="15">
        <v>10.497023283962299</v>
      </c>
      <c r="AF21" s="15">
        <v>0</v>
      </c>
      <c r="AG21" s="15">
        <v>0</v>
      </c>
      <c r="AH21" s="15">
        <v>29.67326939859694</v>
      </c>
      <c r="AI21" s="15">
        <v>101.46076875000001</v>
      </c>
      <c r="AJ21" s="15">
        <v>0</v>
      </c>
      <c r="AK21" s="15">
        <v>0</v>
      </c>
      <c r="AL21" s="15">
        <v>0</v>
      </c>
      <c r="AM21" s="15">
        <v>0</v>
      </c>
      <c r="AN21" s="15">
        <v>0.47178741921692641</v>
      </c>
      <c r="AO21" s="15">
        <v>754.72295212485778</v>
      </c>
      <c r="AP21" s="15">
        <v>40.170292682559236</v>
      </c>
      <c r="AQ21" s="15">
        <v>10.497023283962299</v>
      </c>
      <c r="AR21" s="15">
        <v>0</v>
      </c>
      <c r="AS21" s="15">
        <v>0</v>
      </c>
      <c r="AT21" s="15">
        <v>29.67326939859694</v>
      </c>
      <c r="AU21" s="15">
        <v>458.97579867546074</v>
      </c>
      <c r="AV21" s="15">
        <v>61.280874999999995</v>
      </c>
      <c r="AW21" s="15">
        <v>61.280874999999995</v>
      </c>
      <c r="AX21" s="15">
        <v>0</v>
      </c>
      <c r="AY21" s="15">
        <v>0</v>
      </c>
      <c r="AZ21" s="15">
        <v>274.21638214136817</v>
      </c>
      <c r="BA21" s="15">
        <v>76.930878417473053</v>
      </c>
      <c r="BB21" s="15">
        <v>82.20229321828964</v>
      </c>
      <c r="BC21" s="15">
        <v>115.08321050560551</v>
      </c>
      <c r="BD21" s="15">
        <v>0</v>
      </c>
      <c r="BE21" s="15">
        <v>123.47854153409257</v>
      </c>
      <c r="BF21" s="15">
        <v>42.809186043742898</v>
      </c>
      <c r="BG21" s="15">
        <v>1.4723613094253218</v>
      </c>
      <c r="BH21" s="15">
        <v>79.196994180924349</v>
      </c>
      <c r="BI21" s="15">
        <v>0</v>
      </c>
      <c r="BJ21" s="15">
        <v>499.14609135801999</v>
      </c>
      <c r="BK21" s="15">
        <v>640.77715279057929</v>
      </c>
      <c r="BL21" s="15">
        <v>1.8007139044178155</v>
      </c>
      <c r="BM21" s="15">
        <v>0.71625771776413638</v>
      </c>
    </row>
    <row r="22" spans="1:65" x14ac:dyDescent="0.35">
      <c r="A22" s="15" t="s">
        <v>10621</v>
      </c>
      <c r="B22" s="15" t="s">
        <v>10455</v>
      </c>
      <c r="C22" s="15" t="s">
        <v>10456</v>
      </c>
      <c r="D22" s="15" t="s">
        <v>10322</v>
      </c>
      <c r="E22" s="15" t="s">
        <v>10623</v>
      </c>
      <c r="F22" s="15">
        <v>73378</v>
      </c>
      <c r="G22" s="15">
        <v>0.89712768972223778</v>
      </c>
      <c r="H22" s="15">
        <v>200</v>
      </c>
      <c r="I22" s="80">
        <v>1039.2789502894768</v>
      </c>
      <c r="J22" s="81">
        <v>0.24878236949116006</v>
      </c>
      <c r="K22" s="15">
        <v>30</v>
      </c>
      <c r="L22" s="15">
        <v>59.736315594774261</v>
      </c>
      <c r="M22" s="15">
        <v>14.573926322454408</v>
      </c>
      <c r="N22" s="15">
        <v>25.739401664939734</v>
      </c>
      <c r="O22" s="15">
        <v>4.7976829036356081</v>
      </c>
      <c r="P22" s="15">
        <v>9.966071104900097</v>
      </c>
      <c r="Q22" s="15">
        <v>10.975647656404028</v>
      </c>
      <c r="R22" s="15">
        <v>2.0527172827789437</v>
      </c>
      <c r="S22" s="15">
        <v>4.3014208046851543</v>
      </c>
      <c r="T22" s="15">
        <v>4.6215095689399295</v>
      </c>
      <c r="U22" s="15">
        <v>0</v>
      </c>
      <c r="V22" s="15">
        <v>0</v>
      </c>
      <c r="W22" s="15">
        <v>781.41992120573866</v>
      </c>
      <c r="X22" s="15">
        <v>0</v>
      </c>
      <c r="Y22" s="15">
        <v>896.35401355741715</v>
      </c>
      <c r="Z22" s="15">
        <v>0</v>
      </c>
      <c r="AA22" s="15">
        <v>596.15300000000002</v>
      </c>
      <c r="AB22" s="15">
        <v>0</v>
      </c>
      <c r="AC22" s="15">
        <v>300.20101355741713</v>
      </c>
      <c r="AD22" s="15">
        <v>-142.92493673205968</v>
      </c>
      <c r="AE22" s="15">
        <v>-11.927837405433962</v>
      </c>
      <c r="AF22" s="15">
        <v>23.561329403779002</v>
      </c>
      <c r="AG22" s="15">
        <v>-271.14341987240073</v>
      </c>
      <c r="AH22" s="15">
        <v>0</v>
      </c>
      <c r="AI22" s="15">
        <v>101.46076875000001</v>
      </c>
      <c r="AJ22" s="15">
        <v>0</v>
      </c>
      <c r="AK22" s="15">
        <v>15.124222391996094</v>
      </c>
      <c r="AL22" s="15">
        <v>0</v>
      </c>
      <c r="AM22" s="15">
        <v>0</v>
      </c>
      <c r="AN22" s="15">
        <v>-0.47609744896721851</v>
      </c>
      <c r="AO22" s="15">
        <v>1039.2789502894768</v>
      </c>
      <c r="AP22" s="15">
        <v>0</v>
      </c>
      <c r="AQ22" s="15">
        <v>0</v>
      </c>
      <c r="AR22" s="15">
        <v>0</v>
      </c>
      <c r="AS22" s="15">
        <v>0</v>
      </c>
      <c r="AT22" s="15">
        <v>0</v>
      </c>
      <c r="AU22" s="15">
        <v>501.68023010477839</v>
      </c>
      <c r="AV22" s="15">
        <v>61.280874999999995</v>
      </c>
      <c r="AW22" s="15">
        <v>61.280874999999995</v>
      </c>
      <c r="AX22" s="15">
        <v>0</v>
      </c>
      <c r="AY22" s="15">
        <v>0</v>
      </c>
      <c r="AZ22" s="15">
        <v>274.21638214136817</v>
      </c>
      <c r="BA22" s="15">
        <v>76.930878417473053</v>
      </c>
      <c r="BB22" s="15">
        <v>82.20229321828964</v>
      </c>
      <c r="BC22" s="15">
        <v>115.08321050560551</v>
      </c>
      <c r="BD22" s="15">
        <v>0</v>
      </c>
      <c r="BE22" s="15">
        <v>166.18297296341024</v>
      </c>
      <c r="BF22" s="15">
        <v>57.793197071573651</v>
      </c>
      <c r="BG22" s="15">
        <v>1.4723613094253218</v>
      </c>
      <c r="BH22" s="15">
        <v>106.91741458241125</v>
      </c>
      <c r="BI22" s="15">
        <v>0</v>
      </c>
      <c r="BJ22" s="15">
        <v>501.68023010477839</v>
      </c>
      <c r="BK22" s="15">
        <v>358.75529337271871</v>
      </c>
      <c r="BL22" s="15">
        <v>0.86127050922114856</v>
      </c>
      <c r="BM22" s="15">
        <v>0.24878236949116006</v>
      </c>
    </row>
    <row r="23" spans="1:65" x14ac:dyDescent="0.35">
      <c r="A23" s="15" t="s">
        <v>10621</v>
      </c>
      <c r="B23" s="15" t="s">
        <v>10455</v>
      </c>
      <c r="C23" s="15" t="s">
        <v>10456</v>
      </c>
      <c r="D23" s="15" t="s">
        <v>10323</v>
      </c>
      <c r="E23" s="15" t="s">
        <v>10624</v>
      </c>
      <c r="F23" s="15">
        <v>73378</v>
      </c>
      <c r="G23" s="15">
        <v>0.89712768972223778</v>
      </c>
      <c r="H23" s="15">
        <v>200</v>
      </c>
      <c r="I23" s="80">
        <v>782.07013961343728</v>
      </c>
      <c r="J23" s="79">
        <v>0.61437282701658469</v>
      </c>
      <c r="K23" s="15">
        <v>30</v>
      </c>
      <c r="L23" s="15">
        <v>59.736315594774261</v>
      </c>
      <c r="M23" s="15">
        <v>14.573926322454408</v>
      </c>
      <c r="N23" s="15">
        <v>25.739401664939734</v>
      </c>
      <c r="O23" s="15">
        <v>4.7976829036356081</v>
      </c>
      <c r="P23" s="15">
        <v>9.966071104900097</v>
      </c>
      <c r="Q23" s="15">
        <v>10.975647656404028</v>
      </c>
      <c r="R23" s="15">
        <v>2.0527172827789437</v>
      </c>
      <c r="S23" s="15">
        <v>4.3014208046851543</v>
      </c>
      <c r="T23" s="15">
        <v>4.6215095689399295</v>
      </c>
      <c r="U23" s="15">
        <v>0</v>
      </c>
      <c r="V23" s="15">
        <v>0</v>
      </c>
      <c r="W23" s="15">
        <v>0</v>
      </c>
      <c r="X23" s="15">
        <v>781419.92120573868</v>
      </c>
      <c r="Y23" s="15">
        <v>896.35401355741715</v>
      </c>
      <c r="Z23" s="15">
        <v>0</v>
      </c>
      <c r="AA23" s="15">
        <v>596.15300000000002</v>
      </c>
      <c r="AB23" s="15">
        <v>0</v>
      </c>
      <c r="AC23" s="15">
        <v>300.20101355741713</v>
      </c>
      <c r="AD23" s="15">
        <v>114.28387394397987</v>
      </c>
      <c r="AE23" s="15">
        <v>-11.927837405433962</v>
      </c>
      <c r="AF23" s="15">
        <v>0</v>
      </c>
      <c r="AG23" s="15">
        <v>0</v>
      </c>
      <c r="AH23" s="15">
        <v>0</v>
      </c>
      <c r="AI23" s="15">
        <v>101.46076875000001</v>
      </c>
      <c r="AJ23" s="15">
        <v>0</v>
      </c>
      <c r="AK23" s="15">
        <v>24.750942599413754</v>
      </c>
      <c r="AL23" s="15">
        <v>0</v>
      </c>
      <c r="AM23" s="15">
        <v>0</v>
      </c>
      <c r="AN23" s="15">
        <v>0.3806911661946194</v>
      </c>
      <c r="AO23" s="15">
        <v>782.07013961343728</v>
      </c>
      <c r="AP23" s="15">
        <v>0</v>
      </c>
      <c r="AQ23" s="15">
        <v>0</v>
      </c>
      <c r="AR23" s="15">
        <v>0</v>
      </c>
      <c r="AS23" s="15">
        <v>0</v>
      </c>
      <c r="AT23" s="15">
        <v>0</v>
      </c>
      <c r="AU23" s="15">
        <v>466.39978221299975</v>
      </c>
      <c r="AV23" s="15">
        <v>61.280874999999995</v>
      </c>
      <c r="AW23" s="15">
        <v>61.280874999999995</v>
      </c>
      <c r="AX23" s="15">
        <v>0</v>
      </c>
      <c r="AY23" s="15">
        <v>0</v>
      </c>
      <c r="AZ23" s="15">
        <v>274.21638214136817</v>
      </c>
      <c r="BA23" s="15">
        <v>76.930878417473053</v>
      </c>
      <c r="BB23" s="15">
        <v>82.20229321828964</v>
      </c>
      <c r="BC23" s="15">
        <v>115.08321050560551</v>
      </c>
      <c r="BD23" s="15">
        <v>0</v>
      </c>
      <c r="BE23" s="15">
        <v>130.9025250716316</v>
      </c>
      <c r="BF23" s="15">
        <v>45.414092548142555</v>
      </c>
      <c r="BG23" s="15">
        <v>1.4723613094253218</v>
      </c>
      <c r="BH23" s="15">
        <v>84.016071214063729</v>
      </c>
      <c r="BI23" s="15">
        <v>0</v>
      </c>
      <c r="BJ23" s="15">
        <v>466.39978221299975</v>
      </c>
      <c r="BK23" s="15">
        <v>580.68365615697962</v>
      </c>
      <c r="BL23" s="15">
        <v>1.6005363769621794</v>
      </c>
      <c r="BM23" s="15">
        <v>0.61437282701658469</v>
      </c>
    </row>
    <row r="24" spans="1:65" x14ac:dyDescent="0.35">
      <c r="A24" s="15" t="s">
        <v>10621</v>
      </c>
      <c r="B24" s="15" t="s">
        <v>10455</v>
      </c>
      <c r="C24" s="15" t="s">
        <v>10456</v>
      </c>
      <c r="D24" s="15" t="s">
        <v>10324</v>
      </c>
      <c r="E24" s="15" t="s">
        <v>10625</v>
      </c>
      <c r="F24" s="15">
        <v>73378</v>
      </c>
      <c r="G24" s="15">
        <v>0.89712768972223778</v>
      </c>
      <c r="H24" s="15">
        <v>200</v>
      </c>
      <c r="I24" s="80">
        <v>775.29209951045323</v>
      </c>
      <c r="J24" s="79">
        <v>0.59234023542140612</v>
      </c>
      <c r="K24" s="15">
        <v>30</v>
      </c>
      <c r="L24" s="15">
        <v>60.706740107939652</v>
      </c>
      <c r="M24" s="15">
        <v>14.0870620975591</v>
      </c>
      <c r="N24" s="15">
        <v>25.739401664939734</v>
      </c>
      <c r="O24" s="15">
        <v>3.616900721957331</v>
      </c>
      <c r="P24" s="15">
        <v>10.387779026928055</v>
      </c>
      <c r="Q24" s="15">
        <v>11.734721916054349</v>
      </c>
      <c r="R24" s="15">
        <v>2.0527172827789437</v>
      </c>
      <c r="S24" s="15">
        <v>5.060495064335476</v>
      </c>
      <c r="T24" s="15">
        <v>4.6215095689399295</v>
      </c>
      <c r="U24" s="15">
        <v>0</v>
      </c>
      <c r="V24" s="15">
        <v>0</v>
      </c>
      <c r="W24" s="15">
        <v>0</v>
      </c>
      <c r="X24" s="15">
        <v>0</v>
      </c>
      <c r="Y24" s="15">
        <v>863.75717534542673</v>
      </c>
      <c r="Z24" s="15">
        <v>0</v>
      </c>
      <c r="AA24" s="15">
        <v>596.15300000000002</v>
      </c>
      <c r="AB24" s="15">
        <v>0</v>
      </c>
      <c r="AC24" s="15">
        <v>267.60417534542665</v>
      </c>
      <c r="AD24" s="15">
        <v>88.465075834973504</v>
      </c>
      <c r="AE24" s="15">
        <v>-12.995692915026606</v>
      </c>
      <c r="AF24" s="15">
        <v>0</v>
      </c>
      <c r="AG24" s="15">
        <v>0</v>
      </c>
      <c r="AH24" s="15">
        <v>0</v>
      </c>
      <c r="AI24" s="15">
        <v>101.46076875000001</v>
      </c>
      <c r="AJ24" s="15">
        <v>0</v>
      </c>
      <c r="AK24" s="15">
        <v>0</v>
      </c>
      <c r="AL24" s="15">
        <v>0</v>
      </c>
      <c r="AM24" s="15">
        <v>0</v>
      </c>
      <c r="AN24" s="15">
        <v>0.33058182190461616</v>
      </c>
      <c r="AO24" s="15">
        <v>775.29209951045323</v>
      </c>
      <c r="AP24" s="15">
        <v>0</v>
      </c>
      <c r="AQ24" s="15">
        <v>0</v>
      </c>
      <c r="AR24" s="15">
        <v>0</v>
      </c>
      <c r="AS24" s="15">
        <v>0</v>
      </c>
      <c r="AT24" s="15">
        <v>0</v>
      </c>
      <c r="AU24" s="15">
        <v>438.37580425483122</v>
      </c>
      <c r="AV24" s="15">
        <v>59.642499999999991</v>
      </c>
      <c r="AW24" s="15">
        <v>59.642499999999991</v>
      </c>
      <c r="AX24" s="15">
        <v>0</v>
      </c>
      <c r="AY24" s="15">
        <v>0</v>
      </c>
      <c r="AZ24" s="15">
        <v>252.32365921829128</v>
      </c>
      <c r="BA24" s="15">
        <v>76.930878417473053</v>
      </c>
      <c r="BB24" s="15">
        <v>73.080325333674253</v>
      </c>
      <c r="BC24" s="15">
        <v>102.31245546714396</v>
      </c>
      <c r="BD24" s="15">
        <v>0</v>
      </c>
      <c r="BE24" s="15">
        <v>126.40964503653993</v>
      </c>
      <c r="BF24" s="15">
        <v>43.837643413022668</v>
      </c>
      <c r="BG24" s="15">
        <v>1.4723613094253218</v>
      </c>
      <c r="BH24" s="15">
        <v>81.099640314091928</v>
      </c>
      <c r="BI24" s="15">
        <v>0</v>
      </c>
      <c r="BJ24" s="15">
        <v>438.37580425483122</v>
      </c>
      <c r="BK24" s="15">
        <v>526.84088008980473</v>
      </c>
      <c r="BL24" s="15">
        <v>1.7161044073829934</v>
      </c>
      <c r="BM24" s="15">
        <v>0.59234023542140612</v>
      </c>
    </row>
    <row r="25" spans="1:65" x14ac:dyDescent="0.35">
      <c r="A25" s="15" t="s">
        <v>10621</v>
      </c>
      <c r="B25" s="15" t="s">
        <v>10455</v>
      </c>
      <c r="C25" s="15" t="s">
        <v>10456</v>
      </c>
      <c r="D25" s="15" t="s">
        <v>10325</v>
      </c>
      <c r="E25" s="15" t="s">
        <v>10626</v>
      </c>
      <c r="F25" s="15">
        <v>73378</v>
      </c>
      <c r="G25" s="15">
        <v>0.89712768972223778</v>
      </c>
      <c r="H25" s="15">
        <v>200</v>
      </c>
      <c r="I25" s="80">
        <v>837.94990753955824</v>
      </c>
      <c r="J25" s="79">
        <v>0.47842852823680737</v>
      </c>
      <c r="K25" s="15">
        <v>30</v>
      </c>
      <c r="L25" s="15">
        <v>55.852699413841925</v>
      </c>
      <c r="M25" s="15">
        <v>13.368912312604044</v>
      </c>
      <c r="N25" s="15">
        <v>25.739401664939734</v>
      </c>
      <c r="O25" s="15">
        <v>5.7681355646088317</v>
      </c>
      <c r="P25" s="15">
        <v>9.0041574904292183</v>
      </c>
      <c r="Q25" s="15">
        <v>10.967108609901684</v>
      </c>
      <c r="R25" s="15">
        <v>2.0527172827789437</v>
      </c>
      <c r="S25" s="15">
        <v>0</v>
      </c>
      <c r="T25" s="15">
        <v>8.9143913271227433</v>
      </c>
      <c r="U25" s="15">
        <v>0</v>
      </c>
      <c r="V25" s="15">
        <v>0</v>
      </c>
      <c r="W25" s="15">
        <v>0</v>
      </c>
      <c r="X25" s="15">
        <v>0</v>
      </c>
      <c r="Y25" s="15">
        <v>927.20865178408587</v>
      </c>
      <c r="Z25" s="15">
        <v>0</v>
      </c>
      <c r="AA25" s="15">
        <v>596.15300000000002</v>
      </c>
      <c r="AB25" s="15">
        <v>0</v>
      </c>
      <c r="AC25" s="15">
        <v>331.05565178408585</v>
      </c>
      <c r="AD25" s="15">
        <v>89.258744244527634</v>
      </c>
      <c r="AE25" s="15">
        <v>-12.202024505472439</v>
      </c>
      <c r="AF25" s="15">
        <v>0</v>
      </c>
      <c r="AG25" s="15">
        <v>0</v>
      </c>
      <c r="AH25" s="15">
        <v>0</v>
      </c>
      <c r="AI25" s="15">
        <v>101.46076875000001</v>
      </c>
      <c r="AJ25" s="15">
        <v>0</v>
      </c>
      <c r="AK25" s="15">
        <v>0</v>
      </c>
      <c r="AL25" s="15">
        <v>0</v>
      </c>
      <c r="AM25" s="15">
        <v>0</v>
      </c>
      <c r="AN25" s="15">
        <v>0.26961854831205873</v>
      </c>
      <c r="AO25" s="15">
        <v>837.94990753955824</v>
      </c>
      <c r="AP25" s="15">
        <v>0</v>
      </c>
      <c r="AQ25" s="15">
        <v>0</v>
      </c>
      <c r="AR25" s="15">
        <v>0</v>
      </c>
      <c r="AS25" s="15">
        <v>0</v>
      </c>
      <c r="AT25" s="15">
        <v>0</v>
      </c>
      <c r="AU25" s="15">
        <v>442.69604853987784</v>
      </c>
      <c r="AV25" s="15">
        <v>65.018000000000001</v>
      </c>
      <c r="AW25" s="15">
        <v>65.018000000000001</v>
      </c>
      <c r="AX25" s="15">
        <v>0</v>
      </c>
      <c r="AY25" s="15">
        <v>0</v>
      </c>
      <c r="AZ25" s="15">
        <v>242.3396658591904</v>
      </c>
      <c r="BA25" s="15">
        <v>76.930878417473053</v>
      </c>
      <c r="BB25" s="15">
        <v>68.920328100715565</v>
      </c>
      <c r="BC25" s="15">
        <v>96.488459341001786</v>
      </c>
      <c r="BD25" s="15">
        <v>0</v>
      </c>
      <c r="BE25" s="15">
        <v>135.3383826806874</v>
      </c>
      <c r="BF25" s="15">
        <v>46.970533814477918</v>
      </c>
      <c r="BG25" s="15">
        <v>1.4723613094253218</v>
      </c>
      <c r="BH25" s="15">
        <v>86.895487556784147</v>
      </c>
      <c r="BI25" s="15">
        <v>0</v>
      </c>
      <c r="BJ25" s="15">
        <v>442.69604853987784</v>
      </c>
      <c r="BK25" s="15">
        <v>531.95479278440553</v>
      </c>
      <c r="BL25" s="15">
        <v>1.2109720490794873</v>
      </c>
      <c r="BM25" s="15">
        <v>0.47842852823680737</v>
      </c>
    </row>
    <row r="26" spans="1:65" x14ac:dyDescent="0.35">
      <c r="A26" s="15" t="s">
        <v>10621</v>
      </c>
      <c r="B26" s="15" t="s">
        <v>10455</v>
      </c>
      <c r="C26" s="15" t="s">
        <v>10456</v>
      </c>
      <c r="D26" s="15" t="s">
        <v>10326</v>
      </c>
      <c r="E26" s="15" t="s">
        <v>10627</v>
      </c>
      <c r="F26" s="15">
        <v>73378</v>
      </c>
      <c r="G26" s="15">
        <v>0.89712768972223778</v>
      </c>
      <c r="H26" s="15">
        <v>200</v>
      </c>
      <c r="I26" s="80">
        <v>681.49867208714295</v>
      </c>
      <c r="J26" s="79">
        <v>1.4226194092175497</v>
      </c>
      <c r="K26" s="15">
        <v>30</v>
      </c>
      <c r="L26" s="15">
        <v>55.852699413841925</v>
      </c>
      <c r="M26" s="15">
        <v>12.970604400316054</v>
      </c>
      <c r="N26" s="15">
        <v>25.739401664939734</v>
      </c>
      <c r="O26" s="15">
        <v>18.81034839829945</v>
      </c>
      <c r="P26" s="15">
        <v>4.7373368764321588</v>
      </c>
      <c r="Q26" s="15">
        <v>2.1917163902081285</v>
      </c>
      <c r="R26" s="15">
        <v>2.1917163902081285</v>
      </c>
      <c r="S26" s="15">
        <v>0</v>
      </c>
      <c r="T26" s="15">
        <v>0</v>
      </c>
      <c r="U26" s="15">
        <v>16320.554457048042</v>
      </c>
      <c r="V26" s="15">
        <v>0</v>
      </c>
      <c r="W26" s="15">
        <v>0</v>
      </c>
      <c r="X26" s="15">
        <v>0</v>
      </c>
      <c r="Y26" s="15">
        <v>1213.4112104221485</v>
      </c>
      <c r="Z26" s="15">
        <v>0</v>
      </c>
      <c r="AA26" s="15">
        <v>596.15300000000002</v>
      </c>
      <c r="AB26" s="15">
        <v>0</v>
      </c>
      <c r="AC26" s="15">
        <v>617.25821042214864</v>
      </c>
      <c r="AD26" s="15">
        <v>531.91253833500559</v>
      </c>
      <c r="AE26" s="15">
        <v>10.009211653494058</v>
      </c>
      <c r="AF26" s="15">
        <v>0</v>
      </c>
      <c r="AG26" s="15">
        <v>0</v>
      </c>
      <c r="AH26" s="15">
        <v>398.90296845206899</v>
      </c>
      <c r="AI26" s="15">
        <v>123.00035822944253</v>
      </c>
      <c r="AJ26" s="15">
        <v>0</v>
      </c>
      <c r="AK26" s="15">
        <v>0</v>
      </c>
      <c r="AL26" s="15">
        <v>0</v>
      </c>
      <c r="AM26" s="15">
        <v>0</v>
      </c>
      <c r="AN26" s="15">
        <v>0.86173424565908274</v>
      </c>
      <c r="AO26" s="15">
        <v>681.49867208714295</v>
      </c>
      <c r="AP26" s="15">
        <v>408.91218010556304</v>
      </c>
      <c r="AQ26" s="15">
        <v>10.009211653494058</v>
      </c>
      <c r="AR26" s="15">
        <v>0</v>
      </c>
      <c r="AS26" s="15">
        <v>0</v>
      </c>
      <c r="AT26" s="15">
        <v>398.90296845206899</v>
      </c>
      <c r="AU26" s="15">
        <v>445.94673024873612</v>
      </c>
      <c r="AV26" s="15">
        <v>81.594999999999999</v>
      </c>
      <c r="AW26" s="15">
        <v>81.594999999999999</v>
      </c>
      <c r="AX26" s="15">
        <v>0</v>
      </c>
      <c r="AY26" s="15">
        <v>0</v>
      </c>
      <c r="AZ26" s="15">
        <v>248.12748545234274</v>
      </c>
      <c r="BA26" s="15">
        <v>82.718698010625403</v>
      </c>
      <c r="BB26" s="15">
        <v>68.920328100715565</v>
      </c>
      <c r="BC26" s="15">
        <v>96.488459341001786</v>
      </c>
      <c r="BD26" s="15">
        <v>0</v>
      </c>
      <c r="BE26" s="15">
        <v>116.22424479639335</v>
      </c>
      <c r="BF26" s="15">
        <v>40.224951515829275</v>
      </c>
      <c r="BG26" s="15">
        <v>1.583132976279912</v>
      </c>
      <c r="BH26" s="15">
        <v>74.416160304284162</v>
      </c>
      <c r="BI26" s="15">
        <v>0</v>
      </c>
      <c r="BJ26" s="15">
        <v>854.85891035429916</v>
      </c>
      <c r="BK26" s="15">
        <v>1386.7714486893046</v>
      </c>
      <c r="BL26" s="15">
        <v>1.570676941832976</v>
      </c>
      <c r="BM26" s="15">
        <v>1.4226194092175497</v>
      </c>
    </row>
    <row r="27" spans="1:65" x14ac:dyDescent="0.35">
      <c r="A27" s="15" t="s">
        <v>10621</v>
      </c>
      <c r="B27" s="15" t="s">
        <v>10455</v>
      </c>
      <c r="C27" s="15" t="s">
        <v>10456</v>
      </c>
      <c r="D27" s="15" t="s">
        <v>10327</v>
      </c>
      <c r="E27" s="15" t="s">
        <v>10628</v>
      </c>
      <c r="F27" s="15">
        <v>73378</v>
      </c>
      <c r="G27" s="15">
        <v>0.89712768972223778</v>
      </c>
      <c r="H27" s="15">
        <v>200</v>
      </c>
      <c r="I27" s="80">
        <v>1689.6880934305213</v>
      </c>
      <c r="J27" s="81">
        <v>0.12479459105403946</v>
      </c>
      <c r="K27" s="15">
        <v>30</v>
      </c>
      <c r="L27" s="15">
        <v>62.122276211833146</v>
      </c>
      <c r="M27" s="15">
        <v>21.325086810899567</v>
      </c>
      <c r="N27" s="15">
        <v>25.739401664939734</v>
      </c>
      <c r="O27" s="15">
        <v>18.81034839829945</v>
      </c>
      <c r="P27" s="15">
        <v>4.7373368764321588</v>
      </c>
      <c r="Q27" s="15">
        <v>2.1917163902081285</v>
      </c>
      <c r="R27" s="15">
        <v>2.1917163902081285</v>
      </c>
      <c r="S27" s="15">
        <v>0</v>
      </c>
      <c r="T27" s="15">
        <v>0</v>
      </c>
      <c r="U27" s="15">
        <v>16320.554457048042</v>
      </c>
      <c r="V27" s="15">
        <v>0</v>
      </c>
      <c r="W27" s="15">
        <v>0</v>
      </c>
      <c r="X27" s="15">
        <v>0</v>
      </c>
      <c r="Y27" s="15">
        <v>2110.8841455534898</v>
      </c>
      <c r="Z27" s="15">
        <v>0</v>
      </c>
      <c r="AA27" s="15">
        <v>596.15300000000002</v>
      </c>
      <c r="AB27" s="15">
        <v>0</v>
      </c>
      <c r="AC27" s="15">
        <v>1514.7311455534898</v>
      </c>
      <c r="AD27" s="15">
        <v>421.19605212296847</v>
      </c>
      <c r="AE27" s="15">
        <v>23.055739776761712</v>
      </c>
      <c r="AF27" s="15">
        <v>0</v>
      </c>
      <c r="AG27" s="15">
        <v>0</v>
      </c>
      <c r="AH27" s="15">
        <v>275.13995411676444</v>
      </c>
      <c r="AI27" s="15">
        <v>123.00035822944253</v>
      </c>
      <c r="AJ27" s="15">
        <v>0</v>
      </c>
      <c r="AK27" s="15">
        <v>0</v>
      </c>
      <c r="AL27" s="15">
        <v>0</v>
      </c>
      <c r="AM27" s="15">
        <v>0</v>
      </c>
      <c r="AN27" s="15">
        <v>0.27806654227675598</v>
      </c>
      <c r="AO27" s="15">
        <v>1689.6880934305213</v>
      </c>
      <c r="AP27" s="15">
        <v>298.19569389352614</v>
      </c>
      <c r="AQ27" s="15">
        <v>23.055739776761712</v>
      </c>
      <c r="AR27" s="15">
        <v>0</v>
      </c>
      <c r="AS27" s="15">
        <v>0</v>
      </c>
      <c r="AT27" s="15">
        <v>275.13995411676444</v>
      </c>
      <c r="AU27" s="15">
        <v>806.20333416553683</v>
      </c>
      <c r="AV27" s="15">
        <v>81.594999999999999</v>
      </c>
      <c r="AW27" s="15">
        <v>81.594999999999999</v>
      </c>
      <c r="AX27" s="15">
        <v>0</v>
      </c>
      <c r="AY27" s="15">
        <v>0</v>
      </c>
      <c r="AZ27" s="15">
        <v>464.717096827712</v>
      </c>
      <c r="BA27" s="15">
        <v>82.718698010625403</v>
      </c>
      <c r="BB27" s="15">
        <v>159.16599950711941</v>
      </c>
      <c r="BC27" s="15">
        <v>222.83239930996714</v>
      </c>
      <c r="BD27" s="15">
        <v>0</v>
      </c>
      <c r="BE27" s="15">
        <v>259.8912373378248</v>
      </c>
      <c r="BF27" s="15">
        <v>90.634422582998198</v>
      </c>
      <c r="BG27" s="15">
        <v>1.583132976279912</v>
      </c>
      <c r="BH27" s="15">
        <v>167.67368177854667</v>
      </c>
      <c r="BI27" s="15">
        <v>0</v>
      </c>
      <c r="BJ27" s="15">
        <v>1104.3990280590629</v>
      </c>
      <c r="BK27" s="15">
        <v>1525.5950801820313</v>
      </c>
      <c r="BL27" s="15">
        <v>0.13920881949746328</v>
      </c>
      <c r="BM27" s="15">
        <v>0.12479459105403946</v>
      </c>
    </row>
    <row r="28" spans="1:65" s="60" customFormat="1" x14ac:dyDescent="0.35">
      <c r="A28" s="59" t="s">
        <v>10621</v>
      </c>
      <c r="B28" s="59" t="s">
        <v>10455</v>
      </c>
      <c r="C28" s="59" t="s">
        <v>10609</v>
      </c>
      <c r="D28" s="59" t="s">
        <v>10326</v>
      </c>
      <c r="E28" s="59" t="s">
        <v>10629</v>
      </c>
      <c r="F28" s="59">
        <v>73378</v>
      </c>
      <c r="G28" s="59">
        <v>0.89712768972223778</v>
      </c>
      <c r="H28" s="59">
        <v>200</v>
      </c>
      <c r="I28" s="59">
        <v>681.49867208714295</v>
      </c>
      <c r="J28" s="88">
        <v>1.4226194092175497</v>
      </c>
      <c r="K28" s="59">
        <v>30</v>
      </c>
      <c r="L28" s="59">
        <v>55.852699413841925</v>
      </c>
      <c r="M28" s="59">
        <v>12.970604400316054</v>
      </c>
      <c r="N28" s="59">
        <v>25.739401664939734</v>
      </c>
      <c r="O28" s="59">
        <v>18.81034839829945</v>
      </c>
      <c r="P28" s="59">
        <v>4.7373368764321588</v>
      </c>
      <c r="Q28" s="59">
        <v>2.1917163902081285</v>
      </c>
      <c r="R28" s="59">
        <v>2.1917163902081285</v>
      </c>
      <c r="S28" s="59">
        <v>0</v>
      </c>
      <c r="T28" s="59">
        <v>0</v>
      </c>
      <c r="U28" s="59">
        <v>16320.554457048042</v>
      </c>
      <c r="V28" s="59">
        <v>0</v>
      </c>
      <c r="W28" s="59">
        <v>0</v>
      </c>
      <c r="X28" s="59">
        <v>0</v>
      </c>
      <c r="Y28" s="59">
        <v>1213.4112104221485</v>
      </c>
      <c r="Z28" s="59">
        <v>0</v>
      </c>
      <c r="AA28" s="59">
        <v>596.15300000000002</v>
      </c>
      <c r="AB28" s="59">
        <v>0</v>
      </c>
      <c r="AC28" s="59">
        <v>617.25821042214864</v>
      </c>
      <c r="AD28" s="59">
        <v>531.91253833500559</v>
      </c>
      <c r="AE28" s="59">
        <v>10.009211653494058</v>
      </c>
      <c r="AF28" s="59">
        <v>0</v>
      </c>
      <c r="AG28" s="59">
        <v>0</v>
      </c>
      <c r="AH28" s="59">
        <v>398.90296845206899</v>
      </c>
      <c r="AI28" s="59">
        <v>123.00035822944253</v>
      </c>
      <c r="AJ28" s="59">
        <v>0</v>
      </c>
      <c r="AK28" s="59">
        <v>0</v>
      </c>
      <c r="AL28" s="59">
        <v>0</v>
      </c>
      <c r="AM28" s="59">
        <v>0</v>
      </c>
      <c r="AN28" s="59">
        <v>0.86173424565908274</v>
      </c>
      <c r="AO28" s="59">
        <v>681.49867208714295</v>
      </c>
      <c r="AP28" s="59">
        <v>408.91218010556304</v>
      </c>
      <c r="AQ28" s="59">
        <v>10.009211653494058</v>
      </c>
      <c r="AR28" s="59">
        <v>0</v>
      </c>
      <c r="AS28" s="59">
        <v>0</v>
      </c>
      <c r="AT28" s="59">
        <v>398.90296845206899</v>
      </c>
      <c r="AU28" s="59">
        <v>445.94673024873612</v>
      </c>
      <c r="AV28" s="59">
        <v>81.594999999999999</v>
      </c>
      <c r="AW28" s="59">
        <v>81.594999999999999</v>
      </c>
      <c r="AX28" s="59">
        <v>0</v>
      </c>
      <c r="AY28" s="59">
        <v>0</v>
      </c>
      <c r="AZ28" s="59">
        <v>248.12748545234274</v>
      </c>
      <c r="BA28" s="59">
        <v>82.718698010625403</v>
      </c>
      <c r="BB28" s="59">
        <v>68.920328100715565</v>
      </c>
      <c r="BC28" s="59">
        <v>96.488459341001786</v>
      </c>
      <c r="BD28" s="59">
        <v>0</v>
      </c>
      <c r="BE28" s="59">
        <v>116.22424479639335</v>
      </c>
      <c r="BF28" s="59">
        <v>40.224951515829275</v>
      </c>
      <c r="BG28" s="59">
        <v>1.583132976279912</v>
      </c>
      <c r="BH28" s="59">
        <v>74.416160304284162</v>
      </c>
      <c r="BI28" s="59">
        <v>0</v>
      </c>
      <c r="BJ28" s="59">
        <v>854.85891035429916</v>
      </c>
      <c r="BK28" s="59">
        <v>1386.7714486893046</v>
      </c>
      <c r="BL28" s="59">
        <v>1.570676941832976</v>
      </c>
      <c r="BM28" s="59">
        <v>1.4226194092175497</v>
      </c>
    </row>
    <row r="29" spans="1:65" s="56" customFormat="1" x14ac:dyDescent="0.35">
      <c r="A29" s="55" t="s">
        <v>10621</v>
      </c>
      <c r="B29" s="55" t="s">
        <v>10611</v>
      </c>
      <c r="C29" s="55" t="s">
        <v>9780</v>
      </c>
      <c r="D29" s="55" t="s">
        <v>9780</v>
      </c>
      <c r="E29" s="55" t="s">
        <v>10012</v>
      </c>
      <c r="F29" s="55">
        <f>F28</f>
        <v>73378</v>
      </c>
      <c r="G29" s="55">
        <f>G28</f>
        <v>0.89712768972223778</v>
      </c>
      <c r="H29" s="55">
        <f>(H28*N28)/(N28)</f>
        <v>200</v>
      </c>
      <c r="I29" s="55">
        <f>(I28*N28)/(N28)</f>
        <v>681.49867208714284</v>
      </c>
      <c r="J29" s="89">
        <f>(J28*N28)/(N28)</f>
        <v>1.4226194092175497</v>
      </c>
      <c r="K29" s="55">
        <f t="shared" ref="K29:W29" si="2">K28</f>
        <v>30</v>
      </c>
      <c r="L29" s="55">
        <f t="shared" si="2"/>
        <v>55.852699413841925</v>
      </c>
      <c r="M29" s="55">
        <f t="shared" si="2"/>
        <v>12.970604400316054</v>
      </c>
      <c r="N29" s="55">
        <f t="shared" si="2"/>
        <v>25.739401664939734</v>
      </c>
      <c r="O29" s="55">
        <f t="shared" si="2"/>
        <v>18.81034839829945</v>
      </c>
      <c r="P29" s="55">
        <f t="shared" si="2"/>
        <v>4.7373368764321588</v>
      </c>
      <c r="Q29" s="55">
        <f t="shared" si="2"/>
        <v>2.1917163902081285</v>
      </c>
      <c r="R29" s="55">
        <f t="shared" si="2"/>
        <v>2.1917163902081285</v>
      </c>
      <c r="S29" s="55">
        <f t="shared" si="2"/>
        <v>0</v>
      </c>
      <c r="T29" s="55">
        <f t="shared" si="2"/>
        <v>0</v>
      </c>
      <c r="U29" s="55">
        <f t="shared" si="2"/>
        <v>16320.554457048042</v>
      </c>
      <c r="V29" s="55">
        <f t="shared" si="2"/>
        <v>0</v>
      </c>
      <c r="W29" s="55">
        <f t="shared" si="2"/>
        <v>0</v>
      </c>
      <c r="X29" s="55">
        <f>(X28*N28)/(N28)</f>
        <v>0</v>
      </c>
      <c r="Y29" s="55">
        <f>(Y28*N28)/(N28)</f>
        <v>1213.4112104221485</v>
      </c>
      <c r="Z29" s="55">
        <f>(Z28*N28)/(N28)</f>
        <v>0</v>
      </c>
      <c r="AA29" s="55">
        <f>(AA28*N28)/(N28)</f>
        <v>596.15300000000002</v>
      </c>
      <c r="AB29" s="55">
        <f>(AB28*N28)/(N28)</f>
        <v>0</v>
      </c>
      <c r="AC29" s="55">
        <f>(AC28*N28)/(N28)</f>
        <v>617.25821042214864</v>
      </c>
      <c r="AD29" s="55">
        <f>(AD28*N28)/(N28)</f>
        <v>531.91253833500559</v>
      </c>
      <c r="AE29" s="55">
        <f>(AE28*N28)/(N28)</f>
        <v>10.009211653494059</v>
      </c>
      <c r="AF29" s="55">
        <f>(AF28*N28)/(N28)</f>
        <v>0</v>
      </c>
      <c r="AG29" s="55">
        <f>(AG28*N28)/(N28)</f>
        <v>0</v>
      </c>
      <c r="AH29" s="55">
        <f>(AH28*N28)/(N28)</f>
        <v>398.90296845206899</v>
      </c>
      <c r="AI29" s="55">
        <f>(AI28*N28)/(N28)</f>
        <v>123.00035822944253</v>
      </c>
      <c r="AJ29" s="55">
        <f>(AJ28*N28)/(N28)</f>
        <v>0</v>
      </c>
      <c r="AK29" s="55">
        <f>(AK28*N28)/(N28)</f>
        <v>0</v>
      </c>
      <c r="AL29" s="55">
        <f>(AL28*N28)/(N28)</f>
        <v>0</v>
      </c>
      <c r="AM29" s="55">
        <f>(AM28*N28)/(N28)</f>
        <v>0</v>
      </c>
      <c r="AN29" s="55">
        <f>(AN28*N28)/(N28)</f>
        <v>0.86173424565908274</v>
      </c>
      <c r="AO29" s="55">
        <f>(AO28*N28)/(N28)</f>
        <v>681.49867208714284</v>
      </c>
      <c r="AP29" s="55">
        <f>(AP28*N28)/(N28)</f>
        <v>408.9121801055631</v>
      </c>
      <c r="AQ29" s="55">
        <f>(AQ28*N28)/(N28)</f>
        <v>10.009211653494059</v>
      </c>
      <c r="AR29" s="55">
        <f>(AR28*N28)/(N28)</f>
        <v>0</v>
      </c>
      <c r="AS29" s="55">
        <f>(AS28*N28)/(N28)</f>
        <v>0</v>
      </c>
      <c r="AT29" s="55">
        <f>(AT28*N28)/(N28)</f>
        <v>398.90296845206899</v>
      </c>
      <c r="AU29" s="55">
        <f>(AU28*N28)/(N28)</f>
        <v>445.94673024873606</v>
      </c>
      <c r="AV29" s="55">
        <f>(AV28*N28)/(N28)</f>
        <v>81.594999999999999</v>
      </c>
      <c r="AW29" s="55">
        <f>(AW28*N28)/(N28)</f>
        <v>81.594999999999999</v>
      </c>
      <c r="AX29" s="55">
        <f>(AX28*N28)/(N28)</f>
        <v>0</v>
      </c>
      <c r="AY29" s="55">
        <f>(AY28*N28)/(N28)</f>
        <v>0</v>
      </c>
      <c r="AZ29" s="55">
        <f>(AZ28*N28)/(N28)</f>
        <v>248.12748545234274</v>
      </c>
      <c r="BA29" s="55">
        <f>(BA28*N28)/(N28)</f>
        <v>82.718698010625403</v>
      </c>
      <c r="BB29" s="55">
        <f>(BB28*N28)/(N28)</f>
        <v>68.920328100715565</v>
      </c>
      <c r="BC29" s="55">
        <f>(BC28*N28)/(N28)</f>
        <v>96.488459341001786</v>
      </c>
      <c r="BD29" s="55">
        <f>(BD28*N28)/(N28)</f>
        <v>0</v>
      </c>
      <c r="BE29" s="55">
        <f>(BE28*N28)/(N28)</f>
        <v>116.22424479639334</v>
      </c>
      <c r="BF29" s="55">
        <f>(BF28*N28)/(N28)</f>
        <v>40.224951515829275</v>
      </c>
      <c r="BG29" s="55">
        <f>(BG28*N28)/(N28)</f>
        <v>1.583132976279912</v>
      </c>
      <c r="BH29" s="55">
        <f>(BH28*N28)/(N28)</f>
        <v>74.416160304284162</v>
      </c>
      <c r="BI29" s="55">
        <f>(BI28*N28)/(N28)</f>
        <v>0</v>
      </c>
      <c r="BJ29" s="55">
        <f>(BJ28*N28)/(N28)</f>
        <v>854.85891035429904</v>
      </c>
      <c r="BK29" s="55">
        <f>(BK28*N28)/(N28)</f>
        <v>1386.7714486893044</v>
      </c>
      <c r="BL29" s="55">
        <f>(BL28*N28)/(N28)</f>
        <v>1.570676941832976</v>
      </c>
      <c r="BM29" s="55">
        <f>(BM28*N28)/(N28)</f>
        <v>1.4226194092175497</v>
      </c>
    </row>
    <row r="30" spans="1:65" x14ac:dyDescent="0.35">
      <c r="A30" s="15" t="s">
        <v>10601</v>
      </c>
      <c r="B30" s="15" t="s">
        <v>10571</v>
      </c>
      <c r="C30" s="15" t="s">
        <v>10572</v>
      </c>
      <c r="D30" s="15" t="s">
        <v>10321</v>
      </c>
      <c r="E30" s="15" t="s">
        <v>10630</v>
      </c>
      <c r="F30" s="15">
        <v>73378</v>
      </c>
      <c r="G30" s="15">
        <v>0.89712768972223778</v>
      </c>
      <c r="H30" s="15">
        <v>200</v>
      </c>
      <c r="I30" s="80">
        <v>808.16195212485775</v>
      </c>
      <c r="J30" s="79">
        <v>0.79230281734632158</v>
      </c>
      <c r="K30" s="15">
        <v>30</v>
      </c>
      <c r="L30" s="15">
        <v>91.560620588688693</v>
      </c>
      <c r="M30" s="15">
        <v>17.774656968432353</v>
      </c>
      <c r="N30" s="15">
        <v>25.739401664939734</v>
      </c>
      <c r="O30" s="15">
        <v>4.7976829036356081</v>
      </c>
      <c r="P30" s="15">
        <v>9.966071104900097</v>
      </c>
      <c r="Q30" s="15">
        <v>10.975647656404028</v>
      </c>
      <c r="R30" s="15">
        <v>2.0527172827789437</v>
      </c>
      <c r="S30" s="15">
        <v>4.3014208046851543</v>
      </c>
      <c r="T30" s="15">
        <v>4.6215095689399295</v>
      </c>
      <c r="U30" s="15">
        <v>0</v>
      </c>
      <c r="V30" s="15">
        <v>3125.6796848229546</v>
      </c>
      <c r="W30" s="15">
        <v>0</v>
      </c>
      <c r="X30" s="15">
        <v>0</v>
      </c>
      <c r="Y30" s="15">
        <v>949.79301355741711</v>
      </c>
      <c r="Z30" s="15">
        <v>0</v>
      </c>
      <c r="AA30" s="15">
        <v>596.15300000000002</v>
      </c>
      <c r="AB30" s="15">
        <v>53.439</v>
      </c>
      <c r="AC30" s="15">
        <v>300.20101355741713</v>
      </c>
      <c r="AD30" s="15">
        <v>141.63106143255936</v>
      </c>
      <c r="AE30" s="15">
        <v>10.497023283962299</v>
      </c>
      <c r="AF30" s="15">
        <v>0</v>
      </c>
      <c r="AG30" s="15">
        <v>0</v>
      </c>
      <c r="AH30" s="15">
        <v>29.67326939859694</v>
      </c>
      <c r="AI30" s="15">
        <v>101.46076875000001</v>
      </c>
      <c r="AJ30" s="15">
        <v>0</v>
      </c>
      <c r="AK30" s="15">
        <v>0</v>
      </c>
      <c r="AL30" s="15">
        <v>0</v>
      </c>
      <c r="AM30" s="15">
        <v>0</v>
      </c>
      <c r="AN30" s="15">
        <v>0.47178741921692641</v>
      </c>
      <c r="AO30" s="15">
        <v>808.16195212485775</v>
      </c>
      <c r="AP30" s="15">
        <v>40.170292682559236</v>
      </c>
      <c r="AQ30" s="15">
        <v>10.497023283962299</v>
      </c>
      <c r="AR30" s="15">
        <v>0</v>
      </c>
      <c r="AS30" s="15">
        <v>0</v>
      </c>
      <c r="AT30" s="15">
        <v>29.67326939859694</v>
      </c>
      <c r="AU30" s="15">
        <v>558.70865098292643</v>
      </c>
      <c r="AV30" s="15">
        <v>106.64006786049794</v>
      </c>
      <c r="AW30" s="15">
        <v>106.64006786049794</v>
      </c>
      <c r="AX30" s="15">
        <v>0</v>
      </c>
      <c r="AY30" s="15">
        <v>0</v>
      </c>
      <c r="AZ30" s="15">
        <v>306.01863602348368</v>
      </c>
      <c r="BA30" s="15">
        <v>76.930878417473053</v>
      </c>
      <c r="BB30" s="15">
        <v>95.453232335837768</v>
      </c>
      <c r="BC30" s="15">
        <v>133.63452527017284</v>
      </c>
      <c r="BD30" s="15">
        <v>0</v>
      </c>
      <c r="BE30" s="15">
        <v>146.04994709894487</v>
      </c>
      <c r="BF30" s="15">
        <v>50.728977470006861</v>
      </c>
      <c r="BG30" s="15">
        <v>1.4723613094253218</v>
      </c>
      <c r="BH30" s="15">
        <v>93.848608319512678</v>
      </c>
      <c r="BI30" s="15">
        <v>0</v>
      </c>
      <c r="BJ30" s="15">
        <v>598.87894366548562</v>
      </c>
      <c r="BK30" s="15">
        <v>740.51000509804499</v>
      </c>
      <c r="BL30" s="15">
        <v>2.1329341428694439</v>
      </c>
      <c r="BM30" s="15">
        <v>0.79230281734632158</v>
      </c>
    </row>
    <row r="31" spans="1:65" x14ac:dyDescent="0.35">
      <c r="A31" s="15" t="s">
        <v>10601</v>
      </c>
      <c r="B31" s="15" t="s">
        <v>10571</v>
      </c>
      <c r="C31" s="15" t="s">
        <v>10572</v>
      </c>
      <c r="D31" s="15" t="s">
        <v>10322</v>
      </c>
      <c r="E31" s="15" t="s">
        <v>10631</v>
      </c>
      <c r="F31" s="15">
        <v>73378</v>
      </c>
      <c r="G31" s="15">
        <v>0.89712768972223778</v>
      </c>
      <c r="H31" s="15">
        <v>200</v>
      </c>
      <c r="I31" s="80">
        <v>1092.7179502894769</v>
      </c>
      <c r="J31" s="81">
        <v>0.32788619609282688</v>
      </c>
      <c r="K31" s="15">
        <v>30</v>
      </c>
      <c r="L31" s="15">
        <v>91.560620588688693</v>
      </c>
      <c r="M31" s="15">
        <v>17.774656968432353</v>
      </c>
      <c r="N31" s="15">
        <v>25.739401664939734</v>
      </c>
      <c r="O31" s="15">
        <v>4.7976829036356081</v>
      </c>
      <c r="P31" s="15">
        <v>9.966071104900097</v>
      </c>
      <c r="Q31" s="15">
        <v>10.975647656404028</v>
      </c>
      <c r="R31" s="15">
        <v>2.0527172827789437</v>
      </c>
      <c r="S31" s="15">
        <v>4.3014208046851543</v>
      </c>
      <c r="T31" s="15">
        <v>4.6215095689399295</v>
      </c>
      <c r="U31" s="15">
        <v>0</v>
      </c>
      <c r="V31" s="15">
        <v>0</v>
      </c>
      <c r="W31" s="15">
        <v>781.41992120573866</v>
      </c>
      <c r="X31" s="15">
        <v>0</v>
      </c>
      <c r="Y31" s="15">
        <v>949.79301355741711</v>
      </c>
      <c r="Z31" s="15">
        <v>0</v>
      </c>
      <c r="AA31" s="15">
        <v>596.15300000000002</v>
      </c>
      <c r="AB31" s="15">
        <v>53.439</v>
      </c>
      <c r="AC31" s="15">
        <v>300.20101355741713</v>
      </c>
      <c r="AD31" s="15">
        <v>-142.92493673205979</v>
      </c>
      <c r="AE31" s="15">
        <v>-11.927837405433962</v>
      </c>
      <c r="AF31" s="15">
        <v>23.561329403779002</v>
      </c>
      <c r="AG31" s="15">
        <v>-271.14341987240073</v>
      </c>
      <c r="AH31" s="15">
        <v>0</v>
      </c>
      <c r="AI31" s="15">
        <v>101.46076875000001</v>
      </c>
      <c r="AJ31" s="15">
        <v>0</v>
      </c>
      <c r="AK31" s="15">
        <v>15.124222391996094</v>
      </c>
      <c r="AL31" s="15">
        <v>0</v>
      </c>
      <c r="AM31" s="15">
        <v>0</v>
      </c>
      <c r="AN31" s="15">
        <v>-0.47609744896721889</v>
      </c>
      <c r="AO31" s="15">
        <v>1092.7179502894769</v>
      </c>
      <c r="AP31" s="15">
        <v>0</v>
      </c>
      <c r="AQ31" s="15">
        <v>0</v>
      </c>
      <c r="AR31" s="15">
        <v>0</v>
      </c>
      <c r="AS31" s="15">
        <v>0</v>
      </c>
      <c r="AT31" s="15">
        <v>0</v>
      </c>
      <c r="AU31" s="15">
        <v>601.41308241224419</v>
      </c>
      <c r="AV31" s="15">
        <v>106.64006786049794</v>
      </c>
      <c r="AW31" s="15">
        <v>106.64006786049794</v>
      </c>
      <c r="AX31" s="15">
        <v>0</v>
      </c>
      <c r="AY31" s="15">
        <v>0</v>
      </c>
      <c r="AZ31" s="15">
        <v>306.01863602348368</v>
      </c>
      <c r="BA31" s="15">
        <v>76.930878417473053</v>
      </c>
      <c r="BB31" s="15">
        <v>95.453232335837768</v>
      </c>
      <c r="BC31" s="15">
        <v>133.63452527017284</v>
      </c>
      <c r="BD31" s="15">
        <v>0</v>
      </c>
      <c r="BE31" s="15">
        <v>188.75437852826258</v>
      </c>
      <c r="BF31" s="15">
        <v>65.712988497837628</v>
      </c>
      <c r="BG31" s="15">
        <v>1.4723613094253218</v>
      </c>
      <c r="BH31" s="15">
        <v>121.56902872099961</v>
      </c>
      <c r="BI31" s="15">
        <v>0</v>
      </c>
      <c r="BJ31" s="15">
        <v>601.41308241224419</v>
      </c>
      <c r="BK31" s="15">
        <v>458.4881456801844</v>
      </c>
      <c r="BL31" s="15">
        <v>1.1934907476727772</v>
      </c>
      <c r="BM31" s="15">
        <v>0.32788619609282688</v>
      </c>
    </row>
    <row r="32" spans="1:65" x14ac:dyDescent="0.35">
      <c r="A32" s="15" t="s">
        <v>10601</v>
      </c>
      <c r="B32" s="15" t="s">
        <v>10571</v>
      </c>
      <c r="C32" s="15" t="s">
        <v>10572</v>
      </c>
      <c r="D32" s="15" t="s">
        <v>10323</v>
      </c>
      <c r="E32" s="15" t="s">
        <v>10632</v>
      </c>
      <c r="F32" s="15">
        <v>73378</v>
      </c>
      <c r="G32" s="15">
        <v>0.89712768972223778</v>
      </c>
      <c r="H32" s="15">
        <v>200</v>
      </c>
      <c r="I32" s="80">
        <v>835.50913961343724</v>
      </c>
      <c r="J32" s="79">
        <v>0.69444541944265858</v>
      </c>
      <c r="K32" s="15">
        <v>30</v>
      </c>
      <c r="L32" s="15">
        <v>91.560620588688693</v>
      </c>
      <c r="M32" s="15">
        <v>17.774656968432353</v>
      </c>
      <c r="N32" s="15">
        <v>25.739401664939734</v>
      </c>
      <c r="O32" s="15">
        <v>4.7976829036356081</v>
      </c>
      <c r="P32" s="15">
        <v>9.966071104900097</v>
      </c>
      <c r="Q32" s="15">
        <v>10.975647656404028</v>
      </c>
      <c r="R32" s="15">
        <v>2.0527172827789437</v>
      </c>
      <c r="S32" s="15">
        <v>4.3014208046851543</v>
      </c>
      <c r="T32" s="15">
        <v>4.6215095689399295</v>
      </c>
      <c r="U32" s="15">
        <v>0</v>
      </c>
      <c r="V32" s="15">
        <v>0</v>
      </c>
      <c r="W32" s="15">
        <v>0</v>
      </c>
      <c r="X32" s="15">
        <v>781419.92120573868</v>
      </c>
      <c r="Y32" s="15">
        <v>949.79301355741711</v>
      </c>
      <c r="Z32" s="15">
        <v>0</v>
      </c>
      <c r="AA32" s="15">
        <v>596.15300000000002</v>
      </c>
      <c r="AB32" s="15">
        <v>53.439</v>
      </c>
      <c r="AC32" s="15">
        <v>300.20101355741713</v>
      </c>
      <c r="AD32" s="15">
        <v>114.28387394397987</v>
      </c>
      <c r="AE32" s="15">
        <v>-11.927837405433962</v>
      </c>
      <c r="AF32" s="15">
        <v>0</v>
      </c>
      <c r="AG32" s="15">
        <v>0</v>
      </c>
      <c r="AH32" s="15">
        <v>0</v>
      </c>
      <c r="AI32" s="15">
        <v>101.46076875000001</v>
      </c>
      <c r="AJ32" s="15">
        <v>0</v>
      </c>
      <c r="AK32" s="15">
        <v>24.750942599413754</v>
      </c>
      <c r="AL32" s="15">
        <v>0</v>
      </c>
      <c r="AM32" s="15">
        <v>0</v>
      </c>
      <c r="AN32" s="15">
        <v>0.3806911661946194</v>
      </c>
      <c r="AO32" s="15">
        <v>835.50913961343724</v>
      </c>
      <c r="AP32" s="15">
        <v>0</v>
      </c>
      <c r="AQ32" s="15">
        <v>0</v>
      </c>
      <c r="AR32" s="15">
        <v>0</v>
      </c>
      <c r="AS32" s="15">
        <v>0</v>
      </c>
      <c r="AT32" s="15">
        <v>0</v>
      </c>
      <c r="AU32" s="15">
        <v>566.13263452046544</v>
      </c>
      <c r="AV32" s="15">
        <v>106.64006786049794</v>
      </c>
      <c r="AW32" s="15">
        <v>106.64006786049794</v>
      </c>
      <c r="AX32" s="15">
        <v>0</v>
      </c>
      <c r="AY32" s="15">
        <v>0</v>
      </c>
      <c r="AZ32" s="15">
        <v>306.01863602348368</v>
      </c>
      <c r="BA32" s="15">
        <v>76.930878417473053</v>
      </c>
      <c r="BB32" s="15">
        <v>95.453232335837768</v>
      </c>
      <c r="BC32" s="15">
        <v>133.63452527017284</v>
      </c>
      <c r="BD32" s="15">
        <v>0</v>
      </c>
      <c r="BE32" s="15">
        <v>153.47393063648389</v>
      </c>
      <c r="BF32" s="15">
        <v>53.333883974406518</v>
      </c>
      <c r="BG32" s="15">
        <v>1.4723613094253218</v>
      </c>
      <c r="BH32" s="15">
        <v>98.667685352652043</v>
      </c>
      <c r="BI32" s="15">
        <v>0</v>
      </c>
      <c r="BJ32" s="15">
        <v>566.13263452046544</v>
      </c>
      <c r="BK32" s="15">
        <v>680.41650846444531</v>
      </c>
      <c r="BL32" s="15">
        <v>1.9327566154138078</v>
      </c>
      <c r="BM32" s="15">
        <v>0.69444541944265858</v>
      </c>
    </row>
    <row r="33" spans="1:65" x14ac:dyDescent="0.35">
      <c r="A33" s="15" t="s">
        <v>10601</v>
      </c>
      <c r="B33" s="15" t="s">
        <v>10571</v>
      </c>
      <c r="C33" s="15" t="s">
        <v>10572</v>
      </c>
      <c r="D33" s="15" t="s">
        <v>10324</v>
      </c>
      <c r="E33" s="15" t="s">
        <v>10633</v>
      </c>
      <c r="F33" s="15">
        <v>73378</v>
      </c>
      <c r="G33" s="15">
        <v>0.89712768972223778</v>
      </c>
      <c r="H33" s="15">
        <v>200</v>
      </c>
      <c r="I33" s="80">
        <v>828.73109951045319</v>
      </c>
      <c r="J33" s="79">
        <v>0.67214766219561717</v>
      </c>
      <c r="K33" s="15">
        <v>30</v>
      </c>
      <c r="L33" s="15">
        <v>92.719086433395333</v>
      </c>
      <c r="M33" s="15">
        <v>17.299349651648942</v>
      </c>
      <c r="N33" s="15">
        <v>25.739401664939734</v>
      </c>
      <c r="O33" s="15">
        <v>3.616900721957331</v>
      </c>
      <c r="P33" s="15">
        <v>10.387779026928055</v>
      </c>
      <c r="Q33" s="15">
        <v>11.734721916054349</v>
      </c>
      <c r="R33" s="15">
        <v>2.0527172827789437</v>
      </c>
      <c r="S33" s="15">
        <v>5.060495064335476</v>
      </c>
      <c r="T33" s="15">
        <v>4.6215095689399295</v>
      </c>
      <c r="U33" s="15">
        <v>0</v>
      </c>
      <c r="V33" s="15">
        <v>0</v>
      </c>
      <c r="W33" s="15">
        <v>0</v>
      </c>
      <c r="X33" s="15">
        <v>0</v>
      </c>
      <c r="Y33" s="15">
        <v>917.19617534542658</v>
      </c>
      <c r="Z33" s="15">
        <v>0</v>
      </c>
      <c r="AA33" s="15">
        <v>596.15300000000002</v>
      </c>
      <c r="AB33" s="15">
        <v>53.439</v>
      </c>
      <c r="AC33" s="15">
        <v>267.60417534542665</v>
      </c>
      <c r="AD33" s="15">
        <v>88.465075834973391</v>
      </c>
      <c r="AE33" s="15">
        <v>-12.995692915026606</v>
      </c>
      <c r="AF33" s="15">
        <v>0</v>
      </c>
      <c r="AG33" s="15">
        <v>0</v>
      </c>
      <c r="AH33" s="15">
        <v>0</v>
      </c>
      <c r="AI33" s="15">
        <v>101.46076875000001</v>
      </c>
      <c r="AJ33" s="15">
        <v>0</v>
      </c>
      <c r="AK33" s="15">
        <v>0</v>
      </c>
      <c r="AL33" s="15">
        <v>0</v>
      </c>
      <c r="AM33" s="15">
        <v>0</v>
      </c>
      <c r="AN33" s="15">
        <v>0.33058182190461571</v>
      </c>
      <c r="AO33" s="15">
        <v>828.73109951045319</v>
      </c>
      <c r="AP33" s="15">
        <v>0</v>
      </c>
      <c r="AQ33" s="15">
        <v>0</v>
      </c>
      <c r="AR33" s="15">
        <v>0</v>
      </c>
      <c r="AS33" s="15">
        <v>0</v>
      </c>
      <c r="AT33" s="15">
        <v>0</v>
      </c>
      <c r="AU33" s="15">
        <v>536.16877063520769</v>
      </c>
      <c r="AV33" s="15">
        <v>103.02888585239354</v>
      </c>
      <c r="AW33" s="15">
        <v>103.02888585239354</v>
      </c>
      <c r="AX33" s="15">
        <v>0</v>
      </c>
      <c r="AY33" s="15">
        <v>0</v>
      </c>
      <c r="AZ33" s="15">
        <v>284.26905871640753</v>
      </c>
      <c r="BA33" s="15">
        <v>76.930878417473053</v>
      </c>
      <c r="BB33" s="15">
        <v>86.390908457889353</v>
      </c>
      <c r="BC33" s="15">
        <v>120.94727184104509</v>
      </c>
      <c r="BD33" s="15">
        <v>0</v>
      </c>
      <c r="BE33" s="15">
        <v>148.87082606640666</v>
      </c>
      <c r="BF33" s="15">
        <v>51.718759563853098</v>
      </c>
      <c r="BG33" s="15">
        <v>1.4723613094253218</v>
      </c>
      <c r="BH33" s="15">
        <v>95.679705193128228</v>
      </c>
      <c r="BI33" s="15">
        <v>0</v>
      </c>
      <c r="BJ33" s="15">
        <v>536.16877063520769</v>
      </c>
      <c r="BK33" s="15">
        <v>624.63384647018108</v>
      </c>
      <c r="BL33" s="15">
        <v>2.0815432734027186</v>
      </c>
      <c r="BM33" s="15">
        <v>0.67214766219561717</v>
      </c>
    </row>
    <row r="34" spans="1:65" x14ac:dyDescent="0.35">
      <c r="A34" s="15" t="s">
        <v>10601</v>
      </c>
      <c r="B34" s="15" t="s">
        <v>10571</v>
      </c>
      <c r="C34" s="15" t="s">
        <v>10572</v>
      </c>
      <c r="D34" s="15" t="s">
        <v>10325</v>
      </c>
      <c r="E34" s="15" t="s">
        <v>10634</v>
      </c>
      <c r="F34" s="15">
        <v>73378</v>
      </c>
      <c r="G34" s="15">
        <v>0.89712768972223778</v>
      </c>
      <c r="H34" s="15">
        <v>200</v>
      </c>
      <c r="I34" s="80">
        <v>891.3889075395582</v>
      </c>
      <c r="J34" s="79">
        <v>0.56689914208046843</v>
      </c>
      <c r="K34" s="15">
        <v>30</v>
      </c>
      <c r="L34" s="15">
        <v>87.248083091735197</v>
      </c>
      <c r="M34" s="15">
        <v>16.543281710255041</v>
      </c>
      <c r="N34" s="15">
        <v>25.739401664939734</v>
      </c>
      <c r="O34" s="15">
        <v>5.7681355646088317</v>
      </c>
      <c r="P34" s="15">
        <v>9.0041574904292183</v>
      </c>
      <c r="Q34" s="15">
        <v>10.967108609901684</v>
      </c>
      <c r="R34" s="15">
        <v>2.0527172827789437</v>
      </c>
      <c r="S34" s="15">
        <v>0</v>
      </c>
      <c r="T34" s="15">
        <v>8.9143913271227433</v>
      </c>
      <c r="U34" s="15">
        <v>0</v>
      </c>
      <c r="V34" s="15">
        <v>0</v>
      </c>
      <c r="W34" s="15">
        <v>0</v>
      </c>
      <c r="X34" s="15">
        <v>0</v>
      </c>
      <c r="Y34" s="15">
        <v>980.64765178408584</v>
      </c>
      <c r="Z34" s="15">
        <v>0</v>
      </c>
      <c r="AA34" s="15">
        <v>596.15300000000002</v>
      </c>
      <c r="AB34" s="15">
        <v>53.439</v>
      </c>
      <c r="AC34" s="15">
        <v>331.05565178408585</v>
      </c>
      <c r="AD34" s="15">
        <v>89.258744244527634</v>
      </c>
      <c r="AE34" s="15">
        <v>-12.202024505472439</v>
      </c>
      <c r="AF34" s="15">
        <v>0</v>
      </c>
      <c r="AG34" s="15">
        <v>0</v>
      </c>
      <c r="AH34" s="15">
        <v>0</v>
      </c>
      <c r="AI34" s="15">
        <v>101.46076875000001</v>
      </c>
      <c r="AJ34" s="15">
        <v>0</v>
      </c>
      <c r="AK34" s="15">
        <v>0</v>
      </c>
      <c r="AL34" s="15">
        <v>0</v>
      </c>
      <c r="AM34" s="15">
        <v>0</v>
      </c>
      <c r="AN34" s="15">
        <v>0.26961854831205873</v>
      </c>
      <c r="AO34" s="15">
        <v>891.3889075395582</v>
      </c>
      <c r="AP34" s="15">
        <v>0</v>
      </c>
      <c r="AQ34" s="15">
        <v>0</v>
      </c>
      <c r="AR34" s="15">
        <v>0</v>
      </c>
      <c r="AS34" s="15">
        <v>0</v>
      </c>
      <c r="AT34" s="15">
        <v>0</v>
      </c>
      <c r="AU34" s="15">
        <v>547.12451448377976</v>
      </c>
      <c r="AV34" s="15">
        <v>115.13445890136136</v>
      </c>
      <c r="AW34" s="15">
        <v>115.13445890136136</v>
      </c>
      <c r="AX34" s="15">
        <v>0</v>
      </c>
      <c r="AY34" s="15">
        <v>0</v>
      </c>
      <c r="AZ34" s="15">
        <v>273.81540532293593</v>
      </c>
      <c r="BA34" s="15">
        <v>76.930878417473053</v>
      </c>
      <c r="BB34" s="15">
        <v>82.035219543942858</v>
      </c>
      <c r="BC34" s="15">
        <v>114.84930736151999</v>
      </c>
      <c r="BD34" s="15">
        <v>0</v>
      </c>
      <c r="BE34" s="15">
        <v>158.17465025948246</v>
      </c>
      <c r="BF34" s="15">
        <v>54.983259280721803</v>
      </c>
      <c r="BG34" s="15">
        <v>1.4723613094253218</v>
      </c>
      <c r="BH34" s="15">
        <v>101.71902966933533</v>
      </c>
      <c r="BI34" s="15">
        <v>0</v>
      </c>
      <c r="BJ34" s="15">
        <v>547.12451448377976</v>
      </c>
      <c r="BK34" s="15">
        <v>636.3832587283074</v>
      </c>
      <c r="BL34" s="15">
        <v>1.5264128681113582</v>
      </c>
      <c r="BM34" s="15">
        <v>0.56689914208046843</v>
      </c>
    </row>
    <row r="35" spans="1:65" x14ac:dyDescent="0.35">
      <c r="A35" s="15" t="s">
        <v>10601</v>
      </c>
      <c r="B35" s="15" t="s">
        <v>10571</v>
      </c>
      <c r="C35" s="15" t="s">
        <v>10572</v>
      </c>
      <c r="D35" s="15" t="s">
        <v>10326</v>
      </c>
      <c r="E35" s="15" t="s">
        <v>10635</v>
      </c>
      <c r="F35" s="15">
        <v>73378</v>
      </c>
      <c r="G35" s="15">
        <v>0.89712768972223778</v>
      </c>
      <c r="H35" s="15">
        <v>200</v>
      </c>
      <c r="I35" s="80">
        <v>793.33319309225919</v>
      </c>
      <c r="J35" s="79">
        <v>1.2484894400348823</v>
      </c>
      <c r="K35" s="15">
        <v>30</v>
      </c>
      <c r="L35" s="15">
        <v>85.345489880193526</v>
      </c>
      <c r="M35" s="15">
        <v>16.028041553657353</v>
      </c>
      <c r="N35" s="15">
        <v>25.739401664939734</v>
      </c>
      <c r="O35" s="15">
        <v>18.81034839829945</v>
      </c>
      <c r="P35" s="15">
        <v>4.7373368764321588</v>
      </c>
      <c r="Q35" s="15">
        <v>2.1917163902081285</v>
      </c>
      <c r="R35" s="15">
        <v>2.1917163902081285</v>
      </c>
      <c r="S35" s="15">
        <v>0</v>
      </c>
      <c r="T35" s="15">
        <v>0</v>
      </c>
      <c r="U35" s="15">
        <v>16320.554457048042</v>
      </c>
      <c r="V35" s="15">
        <v>0</v>
      </c>
      <c r="W35" s="15">
        <v>0</v>
      </c>
      <c r="X35" s="15">
        <v>0</v>
      </c>
      <c r="Y35" s="15">
        <v>1265.2928734984678</v>
      </c>
      <c r="Z35" s="15">
        <v>0</v>
      </c>
      <c r="AA35" s="15">
        <v>596.15300000000002</v>
      </c>
      <c r="AB35" s="15">
        <v>53.439</v>
      </c>
      <c r="AC35" s="15">
        <v>615.70087349846779</v>
      </c>
      <c r="AD35" s="15">
        <v>471.95968040620858</v>
      </c>
      <c r="AE35" s="15">
        <v>8.4518747298132286</v>
      </c>
      <c r="AF35" s="15">
        <v>0</v>
      </c>
      <c r="AG35" s="15">
        <v>0</v>
      </c>
      <c r="AH35" s="15">
        <v>340.50744744695282</v>
      </c>
      <c r="AI35" s="15">
        <v>123.00035822944253</v>
      </c>
      <c r="AJ35" s="15">
        <v>0</v>
      </c>
      <c r="AK35" s="15">
        <v>0</v>
      </c>
      <c r="AL35" s="15">
        <v>0</v>
      </c>
      <c r="AM35" s="15">
        <v>0</v>
      </c>
      <c r="AN35" s="15">
        <v>0.76654054057856247</v>
      </c>
      <c r="AO35" s="15">
        <v>793.33319309225919</v>
      </c>
      <c r="AP35" s="15">
        <v>348.95932217676608</v>
      </c>
      <c r="AQ35" s="15">
        <v>8.4518747298132286</v>
      </c>
      <c r="AR35" s="15">
        <v>0</v>
      </c>
      <c r="AS35" s="15">
        <v>0</v>
      </c>
      <c r="AT35" s="15">
        <v>340.50744744695282</v>
      </c>
      <c r="AU35" s="15">
        <v>585.24998492033285</v>
      </c>
      <c r="AV35" s="15">
        <v>158.25416765936461</v>
      </c>
      <c r="AW35" s="15">
        <v>158.25416765936461</v>
      </c>
      <c r="AX35" s="15">
        <v>0</v>
      </c>
      <c r="AY35" s="15">
        <v>0</v>
      </c>
      <c r="AZ35" s="15">
        <v>278.15488441013269</v>
      </c>
      <c r="BA35" s="15">
        <v>82.718698010625403</v>
      </c>
      <c r="BB35" s="15">
        <v>81.431744333128037</v>
      </c>
      <c r="BC35" s="15">
        <v>114.00444206637926</v>
      </c>
      <c r="BD35" s="15">
        <v>0</v>
      </c>
      <c r="BE35" s="15">
        <v>148.84093285083557</v>
      </c>
      <c r="BF35" s="15">
        <v>51.669403464756378</v>
      </c>
      <c r="BG35" s="15">
        <v>1.583132976279912</v>
      </c>
      <c r="BH35" s="15">
        <v>95.588396409799287</v>
      </c>
      <c r="BI35" s="15">
        <v>0</v>
      </c>
      <c r="BJ35" s="15">
        <v>934.20930709709887</v>
      </c>
      <c r="BK35" s="15">
        <v>1406.1689875033076</v>
      </c>
      <c r="BL35" s="15">
        <v>1.6086839513104974</v>
      </c>
      <c r="BM35" s="15">
        <v>1.2484894400348823</v>
      </c>
    </row>
    <row r="36" spans="1:65" x14ac:dyDescent="0.35">
      <c r="A36" s="15" t="s">
        <v>10601</v>
      </c>
      <c r="B36" s="15" t="s">
        <v>10571</v>
      </c>
      <c r="C36" s="15" t="s">
        <v>10572</v>
      </c>
      <c r="D36" s="15" t="s">
        <v>10327</v>
      </c>
      <c r="E36" s="15" t="s">
        <v>10636</v>
      </c>
      <c r="F36" s="15">
        <v>73378</v>
      </c>
      <c r="G36" s="15">
        <v>0.89712768972223778</v>
      </c>
      <c r="H36" s="15">
        <v>200</v>
      </c>
      <c r="I36" s="80">
        <v>1801.5226144356373</v>
      </c>
      <c r="J36" s="81">
        <v>0.12657292250856911</v>
      </c>
      <c r="K36" s="15">
        <v>30</v>
      </c>
      <c r="L36" s="15">
        <v>91.615066678184732</v>
      </c>
      <c r="M36" s="15">
        <v>24.382523964240875</v>
      </c>
      <c r="N36" s="15">
        <v>25.739401664939734</v>
      </c>
      <c r="O36" s="15">
        <v>18.81034839829945</v>
      </c>
      <c r="P36" s="15">
        <v>4.7373368764321588</v>
      </c>
      <c r="Q36" s="15">
        <v>2.1917163902081285</v>
      </c>
      <c r="R36" s="15">
        <v>2.1917163902081285</v>
      </c>
      <c r="S36" s="15">
        <v>0</v>
      </c>
      <c r="T36" s="15">
        <v>0</v>
      </c>
      <c r="U36" s="15">
        <v>16320.554457048042</v>
      </c>
      <c r="V36" s="15">
        <v>0</v>
      </c>
      <c r="W36" s="15">
        <v>0</v>
      </c>
      <c r="X36" s="15">
        <v>0</v>
      </c>
      <c r="Y36" s="15">
        <v>2158.9709805379803</v>
      </c>
      <c r="Z36" s="15">
        <v>0</v>
      </c>
      <c r="AA36" s="15">
        <v>596.15300000000002</v>
      </c>
      <c r="AB36" s="15">
        <v>53.439</v>
      </c>
      <c r="AC36" s="15">
        <v>1509.3789805379802</v>
      </c>
      <c r="AD36" s="15">
        <v>357.44836610234302</v>
      </c>
      <c r="AE36" s="15">
        <v>17.703574761252238</v>
      </c>
      <c r="AF36" s="15">
        <v>0</v>
      </c>
      <c r="AG36" s="15">
        <v>0</v>
      </c>
      <c r="AH36" s="15">
        <v>216.74443311164825</v>
      </c>
      <c r="AI36" s="15">
        <v>123.00035822944253</v>
      </c>
      <c r="AJ36" s="15">
        <v>0</v>
      </c>
      <c r="AK36" s="15">
        <v>0</v>
      </c>
      <c r="AL36" s="15">
        <v>0</v>
      </c>
      <c r="AM36" s="15">
        <v>0</v>
      </c>
      <c r="AN36" s="15">
        <v>0.23681816873780734</v>
      </c>
      <c r="AO36" s="15">
        <v>1801.5226144356373</v>
      </c>
      <c r="AP36" s="15">
        <v>234.44800787290049</v>
      </c>
      <c r="AQ36" s="15">
        <v>17.703574761252238</v>
      </c>
      <c r="AR36" s="15">
        <v>0</v>
      </c>
      <c r="AS36" s="15">
        <v>0</v>
      </c>
      <c r="AT36" s="15">
        <v>216.74443311164825</v>
      </c>
      <c r="AU36" s="15">
        <v>945.50658883713345</v>
      </c>
      <c r="AV36" s="15">
        <v>158.25416765936461</v>
      </c>
      <c r="AW36" s="15">
        <v>158.25416765936461</v>
      </c>
      <c r="AX36" s="15">
        <v>0</v>
      </c>
      <c r="AY36" s="15">
        <v>0</v>
      </c>
      <c r="AZ36" s="15">
        <v>494.7444957855019</v>
      </c>
      <c r="BA36" s="15">
        <v>82.718698010625403</v>
      </c>
      <c r="BB36" s="15">
        <v>171.67741573953188</v>
      </c>
      <c r="BC36" s="15">
        <v>240.34838203534463</v>
      </c>
      <c r="BD36" s="15">
        <v>0</v>
      </c>
      <c r="BE36" s="15">
        <v>292.507925392267</v>
      </c>
      <c r="BF36" s="15">
        <v>102.07887453192529</v>
      </c>
      <c r="BG36" s="15">
        <v>1.583132976279912</v>
      </c>
      <c r="BH36" s="15">
        <v>188.84591788406178</v>
      </c>
      <c r="BI36" s="15">
        <v>0</v>
      </c>
      <c r="BJ36" s="15">
        <v>1179.9545967100339</v>
      </c>
      <c r="BK36" s="15">
        <v>1537.4029628123769</v>
      </c>
      <c r="BL36" s="15">
        <v>0.15107139109166828</v>
      </c>
      <c r="BM36" s="15">
        <v>0.12657292250856911</v>
      </c>
    </row>
    <row r="37" spans="1:65" s="60" customFormat="1" x14ac:dyDescent="0.35">
      <c r="A37" s="59" t="s">
        <v>10601</v>
      </c>
      <c r="B37" s="59" t="s">
        <v>10571</v>
      </c>
      <c r="C37" s="59" t="s">
        <v>10637</v>
      </c>
      <c r="D37" s="59" t="s">
        <v>10326</v>
      </c>
      <c r="E37" s="59" t="s">
        <v>10638</v>
      </c>
      <c r="F37" s="59">
        <v>73378</v>
      </c>
      <c r="G37" s="59">
        <v>0.89712768972223778</v>
      </c>
      <c r="H37" s="59">
        <v>200</v>
      </c>
      <c r="I37" s="59">
        <v>793.33319309225919</v>
      </c>
      <c r="J37" s="88">
        <v>1.2484894400348823</v>
      </c>
      <c r="K37" s="59">
        <v>30</v>
      </c>
      <c r="L37" s="59">
        <v>85.345489880193526</v>
      </c>
      <c r="M37" s="59">
        <v>16.028041553657353</v>
      </c>
      <c r="N37" s="59">
        <v>25.739401664939734</v>
      </c>
      <c r="O37" s="59">
        <v>18.81034839829945</v>
      </c>
      <c r="P37" s="59">
        <v>4.7373368764321588</v>
      </c>
      <c r="Q37" s="59">
        <v>2.1917163902081285</v>
      </c>
      <c r="R37" s="59">
        <v>2.1917163902081285</v>
      </c>
      <c r="S37" s="59">
        <v>0</v>
      </c>
      <c r="T37" s="59">
        <v>0</v>
      </c>
      <c r="U37" s="59">
        <v>16320.554457048042</v>
      </c>
      <c r="V37" s="59">
        <v>0</v>
      </c>
      <c r="W37" s="59">
        <v>0</v>
      </c>
      <c r="X37" s="59">
        <v>0</v>
      </c>
      <c r="Y37" s="59">
        <v>1265.2928734984678</v>
      </c>
      <c r="Z37" s="59">
        <v>0</v>
      </c>
      <c r="AA37" s="59">
        <v>596.15300000000002</v>
      </c>
      <c r="AB37" s="59">
        <v>53.439</v>
      </c>
      <c r="AC37" s="59">
        <v>615.70087349846779</v>
      </c>
      <c r="AD37" s="59">
        <v>471.95968040620858</v>
      </c>
      <c r="AE37" s="59">
        <v>8.4518747298132286</v>
      </c>
      <c r="AF37" s="59">
        <v>0</v>
      </c>
      <c r="AG37" s="59">
        <v>0</v>
      </c>
      <c r="AH37" s="59">
        <v>340.50744744695282</v>
      </c>
      <c r="AI37" s="59">
        <v>123.00035822944253</v>
      </c>
      <c r="AJ37" s="59">
        <v>0</v>
      </c>
      <c r="AK37" s="59">
        <v>0</v>
      </c>
      <c r="AL37" s="59">
        <v>0</v>
      </c>
      <c r="AM37" s="59">
        <v>0</v>
      </c>
      <c r="AN37" s="59">
        <v>0.76654054057856247</v>
      </c>
      <c r="AO37" s="59">
        <v>793.33319309225919</v>
      </c>
      <c r="AP37" s="59">
        <v>348.95932217676608</v>
      </c>
      <c r="AQ37" s="59">
        <v>8.4518747298132286</v>
      </c>
      <c r="AR37" s="59">
        <v>0</v>
      </c>
      <c r="AS37" s="59">
        <v>0</v>
      </c>
      <c r="AT37" s="59">
        <v>340.50744744695282</v>
      </c>
      <c r="AU37" s="59">
        <v>585.24998492033285</v>
      </c>
      <c r="AV37" s="59">
        <v>158.25416765936461</v>
      </c>
      <c r="AW37" s="59">
        <v>158.25416765936461</v>
      </c>
      <c r="AX37" s="59">
        <v>0</v>
      </c>
      <c r="AY37" s="59">
        <v>0</v>
      </c>
      <c r="AZ37" s="59">
        <v>278.15488441013269</v>
      </c>
      <c r="BA37" s="59">
        <v>82.718698010625403</v>
      </c>
      <c r="BB37" s="59">
        <v>81.431744333128037</v>
      </c>
      <c r="BC37" s="59">
        <v>114.00444206637926</v>
      </c>
      <c r="BD37" s="59">
        <v>0</v>
      </c>
      <c r="BE37" s="59">
        <v>148.84093285083557</v>
      </c>
      <c r="BF37" s="59">
        <v>51.669403464756378</v>
      </c>
      <c r="BG37" s="59">
        <v>1.583132976279912</v>
      </c>
      <c r="BH37" s="59">
        <v>95.588396409799287</v>
      </c>
      <c r="BI37" s="59">
        <v>0</v>
      </c>
      <c r="BJ37" s="59">
        <v>934.20930709709887</v>
      </c>
      <c r="BK37" s="59">
        <v>1406.1689875033076</v>
      </c>
      <c r="BL37" s="59">
        <v>1.6086839513104974</v>
      </c>
      <c r="BM37" s="59">
        <v>1.2484894400348823</v>
      </c>
    </row>
    <row r="38" spans="1:65" s="56" customFormat="1" x14ac:dyDescent="0.35">
      <c r="A38" s="55" t="s">
        <v>10601</v>
      </c>
      <c r="B38" s="55" t="s">
        <v>10639</v>
      </c>
      <c r="C38" s="55" t="s">
        <v>9780</v>
      </c>
      <c r="D38" s="55" t="s">
        <v>9780</v>
      </c>
      <c r="E38" s="55" t="s">
        <v>10640</v>
      </c>
      <c r="F38" s="55">
        <f>F37</f>
        <v>73378</v>
      </c>
      <c r="G38" s="55">
        <f>G37</f>
        <v>0.89712768972223778</v>
      </c>
      <c r="H38" s="55">
        <f>(H37*N37)/(N37)</f>
        <v>200</v>
      </c>
      <c r="I38" s="55">
        <f>(I37*N37)/(N37)</f>
        <v>793.33319309225919</v>
      </c>
      <c r="J38" s="89">
        <f>(J37*N37)/(N37)</f>
        <v>1.2484894400348823</v>
      </c>
      <c r="K38" s="55">
        <f t="shared" ref="K38:W38" si="3">K37</f>
        <v>30</v>
      </c>
      <c r="L38" s="55">
        <f t="shared" si="3"/>
        <v>85.345489880193526</v>
      </c>
      <c r="M38" s="55">
        <f t="shared" si="3"/>
        <v>16.028041553657353</v>
      </c>
      <c r="N38" s="55">
        <f t="shared" si="3"/>
        <v>25.739401664939734</v>
      </c>
      <c r="O38" s="55">
        <f t="shared" si="3"/>
        <v>18.81034839829945</v>
      </c>
      <c r="P38" s="55">
        <f t="shared" si="3"/>
        <v>4.7373368764321588</v>
      </c>
      <c r="Q38" s="55">
        <f t="shared" si="3"/>
        <v>2.1917163902081285</v>
      </c>
      <c r="R38" s="55">
        <f t="shared" si="3"/>
        <v>2.1917163902081285</v>
      </c>
      <c r="S38" s="55">
        <f t="shared" si="3"/>
        <v>0</v>
      </c>
      <c r="T38" s="55">
        <f t="shared" si="3"/>
        <v>0</v>
      </c>
      <c r="U38" s="55">
        <f t="shared" si="3"/>
        <v>16320.554457048042</v>
      </c>
      <c r="V38" s="55">
        <f t="shared" si="3"/>
        <v>0</v>
      </c>
      <c r="W38" s="55">
        <f t="shared" si="3"/>
        <v>0</v>
      </c>
      <c r="X38" s="55">
        <f>(X37*N37)/(N37)</f>
        <v>0</v>
      </c>
      <c r="Y38" s="55">
        <f>(Y37*N37)/(N37)</f>
        <v>1265.2928734984678</v>
      </c>
      <c r="Z38" s="55">
        <f>(Z37*N37)/(N37)</f>
        <v>0</v>
      </c>
      <c r="AA38" s="55">
        <f>(AA37*N37)/(N37)</f>
        <v>596.15300000000002</v>
      </c>
      <c r="AB38" s="55">
        <f>(AB37*N37)/(N37)</f>
        <v>53.439</v>
      </c>
      <c r="AC38" s="55">
        <f>(AC37*N37)/(N37)</f>
        <v>615.70087349846779</v>
      </c>
      <c r="AD38" s="55">
        <f>(AD37*N37)/(N37)</f>
        <v>471.95968040620858</v>
      </c>
      <c r="AE38" s="55">
        <f>(AE37*N37)/(N37)</f>
        <v>8.4518747298132286</v>
      </c>
      <c r="AF38" s="55">
        <f>(AF37*N37)/(N37)</f>
        <v>0</v>
      </c>
      <c r="AG38" s="55">
        <f>(AG37*N37)/(N37)</f>
        <v>0</v>
      </c>
      <c r="AH38" s="55">
        <f>(AH37*N37)/(N37)</f>
        <v>340.50744744695282</v>
      </c>
      <c r="AI38" s="55">
        <f>(AI37*N37)/(N37)</f>
        <v>123.00035822944253</v>
      </c>
      <c r="AJ38" s="55">
        <f>(AJ37*N37)/(N37)</f>
        <v>0</v>
      </c>
      <c r="AK38" s="55">
        <f>(AK37*N37)/(N37)</f>
        <v>0</v>
      </c>
      <c r="AL38" s="55">
        <f>(AL37*N37)/(N37)</f>
        <v>0</v>
      </c>
      <c r="AM38" s="55">
        <f>(AM37*N37)/(N37)</f>
        <v>0</v>
      </c>
      <c r="AN38" s="55">
        <f>(AN37*N37)/(N37)</f>
        <v>0.76654054057856247</v>
      </c>
      <c r="AO38" s="55">
        <f>(AO37*N37)/(N37)</f>
        <v>793.33319309225919</v>
      </c>
      <c r="AP38" s="55">
        <f>(AP37*N37)/(N37)</f>
        <v>348.95932217676608</v>
      </c>
      <c r="AQ38" s="55">
        <f>(AQ37*N37)/(N37)</f>
        <v>8.4518747298132286</v>
      </c>
      <c r="AR38" s="55">
        <f>(AR37*N37)/(N37)</f>
        <v>0</v>
      </c>
      <c r="AS38" s="55">
        <f>(AS37*N37)/(N37)</f>
        <v>0</v>
      </c>
      <c r="AT38" s="55">
        <f>(AT37*N37)/(N37)</f>
        <v>340.50744744695282</v>
      </c>
      <c r="AU38" s="55">
        <f>(AU37*N37)/(N37)</f>
        <v>585.24998492033285</v>
      </c>
      <c r="AV38" s="55">
        <f>(AV37*N37)/(N37)</f>
        <v>158.25416765936461</v>
      </c>
      <c r="AW38" s="55">
        <f>(AW37*N37)/(N37)</f>
        <v>158.25416765936461</v>
      </c>
      <c r="AX38" s="55">
        <f>(AX37*N37)/(N37)</f>
        <v>0</v>
      </c>
      <c r="AY38" s="55">
        <f>(AY37*N37)/(N37)</f>
        <v>0</v>
      </c>
      <c r="AZ38" s="55">
        <f>(AZ37*N37)/(N37)</f>
        <v>278.15488441013269</v>
      </c>
      <c r="BA38" s="55">
        <f>(BA37*N37)/(N37)</f>
        <v>82.718698010625403</v>
      </c>
      <c r="BB38" s="55">
        <f>(BB37*N37)/(N37)</f>
        <v>81.431744333128037</v>
      </c>
      <c r="BC38" s="55">
        <f>(BC37*N37)/(N37)</f>
        <v>114.00444206637926</v>
      </c>
      <c r="BD38" s="55">
        <f>(BD37*N37)/(N37)</f>
        <v>0</v>
      </c>
      <c r="BE38" s="55">
        <f>(BE37*N37)/(N37)</f>
        <v>148.84093285083557</v>
      </c>
      <c r="BF38" s="55">
        <f>(BF37*N37)/(N37)</f>
        <v>51.669403464756378</v>
      </c>
      <c r="BG38" s="55">
        <f>(BG37*N37)/(N37)</f>
        <v>1.583132976279912</v>
      </c>
      <c r="BH38" s="55">
        <f>(BH37*N37)/(N37)</f>
        <v>95.588396409799287</v>
      </c>
      <c r="BI38" s="55">
        <f>(BI37*N37)/(N37)</f>
        <v>0</v>
      </c>
      <c r="BJ38" s="55">
        <f>(BJ37*N37)/(N37)</f>
        <v>934.20930709709887</v>
      </c>
      <c r="BK38" s="55">
        <f>(BK37*N37)/(N37)</f>
        <v>1406.1689875033078</v>
      </c>
      <c r="BL38" s="55">
        <f>(BL37*N37)/(N37)</f>
        <v>1.6086839513104974</v>
      </c>
      <c r="BM38" s="55">
        <f>(BM37*N37)/(N37)</f>
        <v>1.2484894400348823</v>
      </c>
    </row>
    <row r="39" spans="1:65" x14ac:dyDescent="0.35">
      <c r="A39" s="15" t="s">
        <v>10612</v>
      </c>
      <c r="B39" s="15" t="s">
        <v>10571</v>
      </c>
      <c r="C39" s="15" t="s">
        <v>10572</v>
      </c>
      <c r="D39" s="15" t="s">
        <v>10321</v>
      </c>
      <c r="E39" s="15" t="s">
        <v>10641</v>
      </c>
      <c r="F39" s="15">
        <v>73378</v>
      </c>
      <c r="G39" s="15">
        <v>0.89712768972223778</v>
      </c>
      <c r="H39" s="15">
        <v>200</v>
      </c>
      <c r="I39" s="80">
        <v>788.80448707485778</v>
      </c>
      <c r="J39" s="79">
        <v>0.83628638959304669</v>
      </c>
      <c r="K39" s="15">
        <v>30</v>
      </c>
      <c r="L39" s="15">
        <v>91.560620588688693</v>
      </c>
      <c r="M39" s="15">
        <v>17.774656968432353</v>
      </c>
      <c r="N39" s="15">
        <v>25.739401664939734</v>
      </c>
      <c r="O39" s="15">
        <v>4.7976829036356081</v>
      </c>
      <c r="P39" s="15">
        <v>9.966071104900097</v>
      </c>
      <c r="Q39" s="15">
        <v>10.975647656404028</v>
      </c>
      <c r="R39" s="15">
        <v>2.0527172827789437</v>
      </c>
      <c r="S39" s="15">
        <v>4.3014208046851543</v>
      </c>
      <c r="T39" s="15">
        <v>4.6215095689399295</v>
      </c>
      <c r="U39" s="15">
        <v>0</v>
      </c>
      <c r="V39" s="15">
        <v>3125.6796848229546</v>
      </c>
      <c r="W39" s="15">
        <v>0</v>
      </c>
      <c r="X39" s="15">
        <v>0</v>
      </c>
      <c r="Y39" s="15">
        <v>949.79301355741711</v>
      </c>
      <c r="Z39" s="15">
        <v>0</v>
      </c>
      <c r="AA39" s="15">
        <v>596.15300000000002</v>
      </c>
      <c r="AB39" s="15">
        <v>53.439</v>
      </c>
      <c r="AC39" s="15">
        <v>300.20101355741713</v>
      </c>
      <c r="AD39" s="15">
        <v>160.98852648255934</v>
      </c>
      <c r="AE39" s="15">
        <v>10.497023283962299</v>
      </c>
      <c r="AF39" s="15">
        <v>0</v>
      </c>
      <c r="AG39" s="15">
        <v>0</v>
      </c>
      <c r="AH39" s="15">
        <v>29.67326939859694</v>
      </c>
      <c r="AI39" s="15">
        <v>101.46076875000001</v>
      </c>
      <c r="AJ39" s="15">
        <v>0</v>
      </c>
      <c r="AK39" s="15">
        <v>0</v>
      </c>
      <c r="AL39" s="15">
        <v>0</v>
      </c>
      <c r="AM39" s="15">
        <v>19.357465049999998</v>
      </c>
      <c r="AN39" s="15">
        <v>0.53626909707874226</v>
      </c>
      <c r="AO39" s="15">
        <v>788.80448707485778</v>
      </c>
      <c r="AP39" s="15">
        <v>40.170292682559236</v>
      </c>
      <c r="AQ39" s="15">
        <v>10.497023283962299</v>
      </c>
      <c r="AR39" s="15">
        <v>0</v>
      </c>
      <c r="AS39" s="15">
        <v>0</v>
      </c>
      <c r="AT39" s="15">
        <v>29.67326939859694</v>
      </c>
      <c r="AU39" s="15">
        <v>558.70865098292643</v>
      </c>
      <c r="AV39" s="15">
        <v>106.64006786049794</v>
      </c>
      <c r="AW39" s="15">
        <v>106.64006786049794</v>
      </c>
      <c r="AX39" s="15">
        <v>0</v>
      </c>
      <c r="AY39" s="15">
        <v>0</v>
      </c>
      <c r="AZ39" s="15">
        <v>306.01863602348368</v>
      </c>
      <c r="BA39" s="15">
        <v>76.930878417473053</v>
      </c>
      <c r="BB39" s="15">
        <v>95.453232335837768</v>
      </c>
      <c r="BC39" s="15">
        <v>133.63452527017284</v>
      </c>
      <c r="BD39" s="15">
        <v>0</v>
      </c>
      <c r="BE39" s="15">
        <v>146.04994709894487</v>
      </c>
      <c r="BF39" s="15">
        <v>50.728977470006861</v>
      </c>
      <c r="BG39" s="15">
        <v>1.4723613094253218</v>
      </c>
      <c r="BH39" s="15">
        <v>93.848608319512678</v>
      </c>
      <c r="BI39" s="15">
        <v>0</v>
      </c>
      <c r="BJ39" s="15">
        <v>598.87894366548562</v>
      </c>
      <c r="BK39" s="15">
        <v>759.86747014804496</v>
      </c>
      <c r="BL39" s="15">
        <v>2.1974158207312597</v>
      </c>
      <c r="BM39" s="15">
        <v>0.83628638959304669</v>
      </c>
    </row>
    <row r="40" spans="1:65" x14ac:dyDescent="0.35">
      <c r="A40" s="15" t="s">
        <v>10612</v>
      </c>
      <c r="B40" s="15" t="s">
        <v>10571</v>
      </c>
      <c r="C40" s="15" t="s">
        <v>10572</v>
      </c>
      <c r="D40" s="15" t="s">
        <v>10322</v>
      </c>
      <c r="E40" s="15" t="s">
        <v>10642</v>
      </c>
      <c r="F40" s="15">
        <v>73378</v>
      </c>
      <c r="G40" s="15">
        <v>0.89712768972223778</v>
      </c>
      <c r="H40" s="15">
        <v>200</v>
      </c>
      <c r="I40" s="80">
        <v>749.02431720563322</v>
      </c>
      <c r="J40" s="79">
        <v>0.87593173543978953</v>
      </c>
      <c r="K40" s="15">
        <v>30</v>
      </c>
      <c r="L40" s="15">
        <v>91.560620588688693</v>
      </c>
      <c r="M40" s="15">
        <v>17.774656968432353</v>
      </c>
      <c r="N40" s="15">
        <v>25.739401664939734</v>
      </c>
      <c r="O40" s="15">
        <v>4.7976829036356081</v>
      </c>
      <c r="P40" s="15">
        <v>9.966071104900097</v>
      </c>
      <c r="Q40" s="15">
        <v>10.975647656404028</v>
      </c>
      <c r="R40" s="15">
        <v>2.0527172827789437</v>
      </c>
      <c r="S40" s="15">
        <v>4.3014208046851543</v>
      </c>
      <c r="T40" s="15">
        <v>4.6215095689399295</v>
      </c>
      <c r="U40" s="15">
        <v>0</v>
      </c>
      <c r="V40" s="15">
        <v>0</v>
      </c>
      <c r="W40" s="15">
        <v>781.41992120573866</v>
      </c>
      <c r="X40" s="15">
        <v>0</v>
      </c>
      <c r="Y40" s="15">
        <v>949.79301355741711</v>
      </c>
      <c r="Z40" s="15">
        <v>0</v>
      </c>
      <c r="AA40" s="15">
        <v>596.15300000000002</v>
      </c>
      <c r="AB40" s="15">
        <v>53.439</v>
      </c>
      <c r="AC40" s="15">
        <v>300.20101355741713</v>
      </c>
      <c r="AD40" s="15">
        <v>200.76869635178389</v>
      </c>
      <c r="AE40" s="15">
        <v>-11.927837405433962</v>
      </c>
      <c r="AF40" s="15">
        <v>23.561329403779002</v>
      </c>
      <c r="AG40" s="15">
        <v>50.867774163228184</v>
      </c>
      <c r="AH40" s="15">
        <v>0</v>
      </c>
      <c r="AI40" s="15">
        <v>101.46076875000001</v>
      </c>
      <c r="AJ40" s="15">
        <v>0</v>
      </c>
      <c r="AK40" s="15">
        <v>17.449196390210563</v>
      </c>
      <c r="AL40" s="15">
        <v>0</v>
      </c>
      <c r="AM40" s="15">
        <v>19.357465049999998</v>
      </c>
      <c r="AN40" s="15">
        <v>0.66878087443027379</v>
      </c>
      <c r="AO40" s="15">
        <v>749.02431720563322</v>
      </c>
      <c r="AP40" s="15">
        <v>0</v>
      </c>
      <c r="AQ40" s="15">
        <v>0</v>
      </c>
      <c r="AR40" s="15">
        <v>0</v>
      </c>
      <c r="AS40" s="15">
        <v>0</v>
      </c>
      <c r="AT40" s="15">
        <v>0</v>
      </c>
      <c r="AU40" s="15">
        <v>555.52648726216694</v>
      </c>
      <c r="AV40" s="15">
        <v>106.64006786049794</v>
      </c>
      <c r="AW40" s="15">
        <v>106.64006786049794</v>
      </c>
      <c r="AX40" s="15">
        <v>0</v>
      </c>
      <c r="AY40" s="15">
        <v>0</v>
      </c>
      <c r="AZ40" s="15">
        <v>306.01863602348368</v>
      </c>
      <c r="BA40" s="15">
        <v>76.930878417473053</v>
      </c>
      <c r="BB40" s="15">
        <v>95.453232335837768</v>
      </c>
      <c r="BC40" s="15">
        <v>133.63452527017284</v>
      </c>
      <c r="BD40" s="15">
        <v>0</v>
      </c>
      <c r="BE40" s="15">
        <v>142.86778337818538</v>
      </c>
      <c r="BF40" s="15">
        <v>49.612428796056157</v>
      </c>
      <c r="BG40" s="15">
        <v>1.4723613094253218</v>
      </c>
      <c r="BH40" s="15">
        <v>91.782993272703891</v>
      </c>
      <c r="BI40" s="15">
        <v>0</v>
      </c>
      <c r="BJ40" s="15">
        <v>555.52648726216694</v>
      </c>
      <c r="BK40" s="15">
        <v>756.29518361395083</v>
      </c>
      <c r="BL40" s="15">
        <v>2.1855161722531879</v>
      </c>
      <c r="BM40" s="15">
        <v>0.87593173543978953</v>
      </c>
    </row>
    <row r="41" spans="1:65" x14ac:dyDescent="0.35">
      <c r="A41" s="15" t="s">
        <v>10612</v>
      </c>
      <c r="B41" s="15" t="s">
        <v>10571</v>
      </c>
      <c r="C41" s="15" t="s">
        <v>10572</v>
      </c>
      <c r="D41" s="15" t="s">
        <v>10323</v>
      </c>
      <c r="E41" s="15" t="s">
        <v>10643</v>
      </c>
      <c r="F41" s="15">
        <v>73378</v>
      </c>
      <c r="G41" s="15">
        <v>0.89712768972223778</v>
      </c>
      <c r="H41" s="15">
        <v>200</v>
      </c>
      <c r="I41" s="80">
        <v>767.66243948343731</v>
      </c>
      <c r="J41" s="79">
        <v>0.84420203686546325</v>
      </c>
      <c r="K41" s="15">
        <v>30</v>
      </c>
      <c r="L41" s="15">
        <v>91.560620588688693</v>
      </c>
      <c r="M41" s="15">
        <v>17.774656968432353</v>
      </c>
      <c r="N41" s="15">
        <v>25.739401664939734</v>
      </c>
      <c r="O41" s="15">
        <v>4.7976829036356081</v>
      </c>
      <c r="P41" s="15">
        <v>9.966071104900097</v>
      </c>
      <c r="Q41" s="15">
        <v>10.975647656404028</v>
      </c>
      <c r="R41" s="15">
        <v>2.0527172827789437</v>
      </c>
      <c r="S41" s="15">
        <v>4.3014208046851543</v>
      </c>
      <c r="T41" s="15">
        <v>4.6215095689399295</v>
      </c>
      <c r="U41" s="15">
        <v>0</v>
      </c>
      <c r="V41" s="15">
        <v>0</v>
      </c>
      <c r="W41" s="15">
        <v>0</v>
      </c>
      <c r="X41" s="15">
        <v>781419.92120573868</v>
      </c>
      <c r="Y41" s="15">
        <v>949.79301355741711</v>
      </c>
      <c r="Z41" s="15">
        <v>0</v>
      </c>
      <c r="AA41" s="15">
        <v>596.15300000000002</v>
      </c>
      <c r="AB41" s="15">
        <v>53.439</v>
      </c>
      <c r="AC41" s="15">
        <v>300.20101355741713</v>
      </c>
      <c r="AD41" s="15">
        <v>182.1305740739798</v>
      </c>
      <c r="AE41" s="15">
        <v>-11.927837405433962</v>
      </c>
      <c r="AF41" s="15">
        <v>0</v>
      </c>
      <c r="AG41" s="15">
        <v>0</v>
      </c>
      <c r="AH41" s="15">
        <v>0</v>
      </c>
      <c r="AI41" s="15">
        <v>101.46076875000001</v>
      </c>
      <c r="AJ41" s="15">
        <v>0</v>
      </c>
      <c r="AK41" s="15">
        <v>73.240177679413733</v>
      </c>
      <c r="AL41" s="15">
        <v>0</v>
      </c>
      <c r="AM41" s="15">
        <v>19.357465049999998</v>
      </c>
      <c r="AN41" s="15">
        <v>0.60669540024436019</v>
      </c>
      <c r="AO41" s="15">
        <v>767.66243948343731</v>
      </c>
      <c r="AP41" s="15">
        <v>0</v>
      </c>
      <c r="AQ41" s="15">
        <v>0</v>
      </c>
      <c r="AR41" s="15">
        <v>0</v>
      </c>
      <c r="AS41" s="15">
        <v>0</v>
      </c>
      <c r="AT41" s="15">
        <v>0</v>
      </c>
      <c r="AU41" s="15">
        <v>566.13263452046556</v>
      </c>
      <c r="AV41" s="15">
        <v>106.64006786049794</v>
      </c>
      <c r="AW41" s="15">
        <v>106.64006786049794</v>
      </c>
      <c r="AX41" s="15">
        <v>0</v>
      </c>
      <c r="AY41" s="15">
        <v>0</v>
      </c>
      <c r="AZ41" s="15">
        <v>306.01863602348368</v>
      </c>
      <c r="BA41" s="15">
        <v>76.930878417473053</v>
      </c>
      <c r="BB41" s="15">
        <v>95.453232335837768</v>
      </c>
      <c r="BC41" s="15">
        <v>133.63452527017284</v>
      </c>
      <c r="BD41" s="15">
        <v>0</v>
      </c>
      <c r="BE41" s="15">
        <v>153.47393063648391</v>
      </c>
      <c r="BF41" s="15">
        <v>53.333883974406525</v>
      </c>
      <c r="BG41" s="15">
        <v>1.4723613094253218</v>
      </c>
      <c r="BH41" s="15">
        <v>98.667685352652072</v>
      </c>
      <c r="BI41" s="15">
        <v>0</v>
      </c>
      <c r="BJ41" s="15">
        <v>566.13263452046556</v>
      </c>
      <c r="BK41" s="15">
        <v>748.26320859444536</v>
      </c>
      <c r="BL41" s="15">
        <v>2.1587608494635493</v>
      </c>
      <c r="BM41" s="15">
        <v>0.84420203686546325</v>
      </c>
    </row>
    <row r="42" spans="1:65" x14ac:dyDescent="0.35">
      <c r="A42" s="15" t="s">
        <v>10612</v>
      </c>
      <c r="B42" s="15" t="s">
        <v>10571</v>
      </c>
      <c r="C42" s="15" t="s">
        <v>10572</v>
      </c>
      <c r="D42" s="15" t="s">
        <v>10324</v>
      </c>
      <c r="E42" s="15" t="s">
        <v>10644</v>
      </c>
      <c r="F42" s="15">
        <v>73378</v>
      </c>
      <c r="G42" s="15">
        <v>0.89712768972223778</v>
      </c>
      <c r="H42" s="15">
        <v>200</v>
      </c>
      <c r="I42" s="80">
        <v>809.37363446045322</v>
      </c>
      <c r="J42" s="79">
        <v>0.71213974811396863</v>
      </c>
      <c r="K42" s="15">
        <v>30</v>
      </c>
      <c r="L42" s="15">
        <v>92.719086433395333</v>
      </c>
      <c r="M42" s="15">
        <v>17.299349651648942</v>
      </c>
      <c r="N42" s="15">
        <v>25.739401664939734</v>
      </c>
      <c r="O42" s="15">
        <v>3.616900721957331</v>
      </c>
      <c r="P42" s="15">
        <v>10.387779026928055</v>
      </c>
      <c r="Q42" s="15">
        <v>11.734721916054349</v>
      </c>
      <c r="R42" s="15">
        <v>2.0527172827789437</v>
      </c>
      <c r="S42" s="15">
        <v>5.060495064335476</v>
      </c>
      <c r="T42" s="15">
        <v>4.6215095689399295</v>
      </c>
      <c r="U42" s="15">
        <v>0</v>
      </c>
      <c r="V42" s="15">
        <v>0</v>
      </c>
      <c r="W42" s="15">
        <v>0</v>
      </c>
      <c r="X42" s="15">
        <v>0</v>
      </c>
      <c r="Y42" s="15">
        <v>917.19617534542658</v>
      </c>
      <c r="Z42" s="15">
        <v>0</v>
      </c>
      <c r="AA42" s="15">
        <v>596.15300000000002</v>
      </c>
      <c r="AB42" s="15">
        <v>53.439</v>
      </c>
      <c r="AC42" s="15">
        <v>267.60417534542665</v>
      </c>
      <c r="AD42" s="15">
        <v>107.82254088497336</v>
      </c>
      <c r="AE42" s="15">
        <v>-12.995692915026606</v>
      </c>
      <c r="AF42" s="15">
        <v>0</v>
      </c>
      <c r="AG42" s="15">
        <v>0</v>
      </c>
      <c r="AH42" s="15">
        <v>0</v>
      </c>
      <c r="AI42" s="15">
        <v>101.46076875000001</v>
      </c>
      <c r="AJ42" s="15">
        <v>0</v>
      </c>
      <c r="AK42" s="15">
        <v>0</v>
      </c>
      <c r="AL42" s="15">
        <v>0</v>
      </c>
      <c r="AM42" s="15">
        <v>19.357465049999998</v>
      </c>
      <c r="AN42" s="15">
        <v>0.40291800658862942</v>
      </c>
      <c r="AO42" s="15">
        <v>809.37363446045322</v>
      </c>
      <c r="AP42" s="15">
        <v>0</v>
      </c>
      <c r="AQ42" s="15">
        <v>0</v>
      </c>
      <c r="AR42" s="15">
        <v>0</v>
      </c>
      <c r="AS42" s="15">
        <v>0</v>
      </c>
      <c r="AT42" s="15">
        <v>0</v>
      </c>
      <c r="AU42" s="15">
        <v>536.16877063520769</v>
      </c>
      <c r="AV42" s="15">
        <v>103.02888585239354</v>
      </c>
      <c r="AW42" s="15">
        <v>103.02888585239354</v>
      </c>
      <c r="AX42" s="15">
        <v>0</v>
      </c>
      <c r="AY42" s="15">
        <v>0</v>
      </c>
      <c r="AZ42" s="15">
        <v>284.26905871640753</v>
      </c>
      <c r="BA42" s="15">
        <v>76.930878417473053</v>
      </c>
      <c r="BB42" s="15">
        <v>86.390908457889353</v>
      </c>
      <c r="BC42" s="15">
        <v>120.94727184104509</v>
      </c>
      <c r="BD42" s="15">
        <v>0</v>
      </c>
      <c r="BE42" s="15">
        <v>148.87082606640666</v>
      </c>
      <c r="BF42" s="15">
        <v>51.718759563853098</v>
      </c>
      <c r="BG42" s="15">
        <v>1.4723613094253218</v>
      </c>
      <c r="BH42" s="15">
        <v>95.679705193128228</v>
      </c>
      <c r="BI42" s="15">
        <v>0</v>
      </c>
      <c r="BJ42" s="15">
        <v>536.16877063520769</v>
      </c>
      <c r="BK42" s="15">
        <v>643.99131152018106</v>
      </c>
      <c r="BL42" s="15">
        <v>2.1538794580867324</v>
      </c>
      <c r="BM42" s="15">
        <v>0.71213974811396863</v>
      </c>
    </row>
    <row r="43" spans="1:65" x14ac:dyDescent="0.35">
      <c r="A43" s="15" t="s">
        <v>10612</v>
      </c>
      <c r="B43" s="15" t="s">
        <v>10571</v>
      </c>
      <c r="C43" s="15" t="s">
        <v>10572</v>
      </c>
      <c r="D43" s="15" t="s">
        <v>10325</v>
      </c>
      <c r="E43" s="15" t="s">
        <v>10645</v>
      </c>
      <c r="F43" s="15">
        <v>73378</v>
      </c>
      <c r="G43" s="15">
        <v>0.89712768972223778</v>
      </c>
      <c r="H43" s="15">
        <v>200</v>
      </c>
      <c r="I43" s="80">
        <v>854.05045438205821</v>
      </c>
      <c r="J43" s="79">
        <v>0.63540281176287583</v>
      </c>
      <c r="K43" s="15">
        <v>30</v>
      </c>
      <c r="L43" s="15">
        <v>87.248083091735197</v>
      </c>
      <c r="M43" s="15">
        <v>16.543281710255041</v>
      </c>
      <c r="N43" s="15">
        <v>25.739401664939734</v>
      </c>
      <c r="O43" s="15">
        <v>5.7681355646088317</v>
      </c>
      <c r="P43" s="15">
        <v>9.0041574904292183</v>
      </c>
      <c r="Q43" s="15">
        <v>10.967108609901684</v>
      </c>
      <c r="R43" s="15">
        <v>2.0527172827789437</v>
      </c>
      <c r="S43" s="15">
        <v>0</v>
      </c>
      <c r="T43" s="15">
        <v>8.9143913271227433</v>
      </c>
      <c r="U43" s="15">
        <v>0</v>
      </c>
      <c r="V43" s="15">
        <v>0</v>
      </c>
      <c r="W43" s="15">
        <v>0</v>
      </c>
      <c r="X43" s="15">
        <v>0</v>
      </c>
      <c r="Y43" s="15">
        <v>980.64765178408584</v>
      </c>
      <c r="Z43" s="15">
        <v>0</v>
      </c>
      <c r="AA43" s="15">
        <v>596.15300000000002</v>
      </c>
      <c r="AB43" s="15">
        <v>53.439</v>
      </c>
      <c r="AC43" s="15">
        <v>331.05565178408585</v>
      </c>
      <c r="AD43" s="15">
        <v>126.59719740202763</v>
      </c>
      <c r="AE43" s="15">
        <v>-12.202024505472439</v>
      </c>
      <c r="AF43" s="15">
        <v>0</v>
      </c>
      <c r="AG43" s="15">
        <v>0</v>
      </c>
      <c r="AH43" s="15">
        <v>0</v>
      </c>
      <c r="AI43" s="15">
        <v>101.46076875000001</v>
      </c>
      <c r="AJ43" s="15">
        <v>0</v>
      </c>
      <c r="AK43" s="15">
        <v>0</v>
      </c>
      <c r="AL43" s="15">
        <v>0</v>
      </c>
      <c r="AM43" s="15">
        <v>37.338453157500005</v>
      </c>
      <c r="AN43" s="15">
        <v>0.38240457977317416</v>
      </c>
      <c r="AO43" s="15">
        <v>854.05045438205821</v>
      </c>
      <c r="AP43" s="15">
        <v>0</v>
      </c>
      <c r="AQ43" s="15">
        <v>0</v>
      </c>
      <c r="AR43" s="15">
        <v>0</v>
      </c>
      <c r="AS43" s="15">
        <v>0</v>
      </c>
      <c r="AT43" s="15">
        <v>0</v>
      </c>
      <c r="AU43" s="15">
        <v>547.12451448377976</v>
      </c>
      <c r="AV43" s="15">
        <v>115.13445890136136</v>
      </c>
      <c r="AW43" s="15">
        <v>115.13445890136136</v>
      </c>
      <c r="AX43" s="15">
        <v>0</v>
      </c>
      <c r="AY43" s="15">
        <v>0</v>
      </c>
      <c r="AZ43" s="15">
        <v>273.81540532293593</v>
      </c>
      <c r="BA43" s="15">
        <v>76.930878417473053</v>
      </c>
      <c r="BB43" s="15">
        <v>82.035219543942858</v>
      </c>
      <c r="BC43" s="15">
        <v>114.84930736151999</v>
      </c>
      <c r="BD43" s="15">
        <v>0</v>
      </c>
      <c r="BE43" s="15">
        <v>158.17465025948246</v>
      </c>
      <c r="BF43" s="15">
        <v>54.983259280721803</v>
      </c>
      <c r="BG43" s="15">
        <v>1.4723613094253218</v>
      </c>
      <c r="BH43" s="15">
        <v>101.71902966933533</v>
      </c>
      <c r="BI43" s="15">
        <v>0</v>
      </c>
      <c r="BJ43" s="15">
        <v>547.12451448377976</v>
      </c>
      <c r="BK43" s="15">
        <v>673.72171188580739</v>
      </c>
      <c r="BL43" s="15">
        <v>1.6391988995724736</v>
      </c>
      <c r="BM43" s="15">
        <v>0.63540281176287583</v>
      </c>
    </row>
    <row r="44" spans="1:65" x14ac:dyDescent="0.35">
      <c r="A44" s="15" t="s">
        <v>10612</v>
      </c>
      <c r="B44" s="15" t="s">
        <v>10571</v>
      </c>
      <c r="C44" s="15" t="s">
        <v>10572</v>
      </c>
      <c r="D44" s="15" t="s">
        <v>10326</v>
      </c>
      <c r="E44" s="15" t="s">
        <v>10646</v>
      </c>
      <c r="F44" s="15">
        <v>73378</v>
      </c>
      <c r="G44" s="15">
        <v>0.89712768972223778</v>
      </c>
      <c r="H44" s="15">
        <v>200</v>
      </c>
      <c r="I44" s="80">
        <v>793.33319309225919</v>
      </c>
      <c r="J44" s="79">
        <v>1.2484894400348823</v>
      </c>
      <c r="K44" s="15">
        <v>30</v>
      </c>
      <c r="L44" s="15">
        <v>85.345489880193526</v>
      </c>
      <c r="M44" s="15">
        <v>16.028041553657353</v>
      </c>
      <c r="N44" s="15">
        <v>25.739401664939734</v>
      </c>
      <c r="O44" s="15">
        <v>18.81034839829945</v>
      </c>
      <c r="P44" s="15">
        <v>4.7373368764321588</v>
      </c>
      <c r="Q44" s="15">
        <v>2.1917163902081285</v>
      </c>
      <c r="R44" s="15">
        <v>2.1917163902081285</v>
      </c>
      <c r="S44" s="15">
        <v>0</v>
      </c>
      <c r="T44" s="15">
        <v>0</v>
      </c>
      <c r="U44" s="15">
        <v>16320.554457048042</v>
      </c>
      <c r="V44" s="15">
        <v>0</v>
      </c>
      <c r="W44" s="15">
        <v>0</v>
      </c>
      <c r="X44" s="15">
        <v>0</v>
      </c>
      <c r="Y44" s="15">
        <v>1265.2928734984678</v>
      </c>
      <c r="Z44" s="15">
        <v>0</v>
      </c>
      <c r="AA44" s="15">
        <v>596.15300000000002</v>
      </c>
      <c r="AB44" s="15">
        <v>53.439</v>
      </c>
      <c r="AC44" s="15">
        <v>615.70087349846779</v>
      </c>
      <c r="AD44" s="15">
        <v>471.95968040620858</v>
      </c>
      <c r="AE44" s="15">
        <v>8.4518747298132286</v>
      </c>
      <c r="AF44" s="15">
        <v>0</v>
      </c>
      <c r="AG44" s="15">
        <v>0</v>
      </c>
      <c r="AH44" s="15">
        <v>340.50744744695282</v>
      </c>
      <c r="AI44" s="15">
        <v>123.00035822944253</v>
      </c>
      <c r="AJ44" s="15">
        <v>0</v>
      </c>
      <c r="AK44" s="15">
        <v>0</v>
      </c>
      <c r="AL44" s="15">
        <v>0</v>
      </c>
      <c r="AM44" s="15">
        <v>0</v>
      </c>
      <c r="AN44" s="15">
        <v>0.76654054057856247</v>
      </c>
      <c r="AO44" s="15">
        <v>793.33319309225919</v>
      </c>
      <c r="AP44" s="15">
        <v>348.95932217676608</v>
      </c>
      <c r="AQ44" s="15">
        <v>8.4518747298132286</v>
      </c>
      <c r="AR44" s="15">
        <v>0</v>
      </c>
      <c r="AS44" s="15">
        <v>0</v>
      </c>
      <c r="AT44" s="15">
        <v>340.50744744695282</v>
      </c>
      <c r="AU44" s="15">
        <v>585.24998492033285</v>
      </c>
      <c r="AV44" s="15">
        <v>158.25416765936461</v>
      </c>
      <c r="AW44" s="15">
        <v>158.25416765936461</v>
      </c>
      <c r="AX44" s="15">
        <v>0</v>
      </c>
      <c r="AY44" s="15">
        <v>0</v>
      </c>
      <c r="AZ44" s="15">
        <v>278.15488441013269</v>
      </c>
      <c r="BA44" s="15">
        <v>82.718698010625403</v>
      </c>
      <c r="BB44" s="15">
        <v>81.431744333128037</v>
      </c>
      <c r="BC44" s="15">
        <v>114.00444206637926</v>
      </c>
      <c r="BD44" s="15">
        <v>0</v>
      </c>
      <c r="BE44" s="15">
        <v>148.84093285083557</v>
      </c>
      <c r="BF44" s="15">
        <v>51.669403464756378</v>
      </c>
      <c r="BG44" s="15">
        <v>1.583132976279912</v>
      </c>
      <c r="BH44" s="15">
        <v>95.588396409799287</v>
      </c>
      <c r="BI44" s="15">
        <v>0</v>
      </c>
      <c r="BJ44" s="15">
        <v>934.20930709709887</v>
      </c>
      <c r="BK44" s="15">
        <v>1406.1689875033076</v>
      </c>
      <c r="BL44" s="15">
        <v>1.6086839513104974</v>
      </c>
      <c r="BM44" s="15">
        <v>1.2484894400348823</v>
      </c>
    </row>
    <row r="45" spans="1:65" s="60" customFormat="1" x14ac:dyDescent="0.35">
      <c r="A45" s="15" t="s">
        <v>10612</v>
      </c>
      <c r="B45" s="15" t="s">
        <v>10571</v>
      </c>
      <c r="C45" s="15" t="s">
        <v>10572</v>
      </c>
      <c r="D45" s="15" t="s">
        <v>10327</v>
      </c>
      <c r="E45" s="15" t="s">
        <v>10647</v>
      </c>
      <c r="F45" s="15">
        <v>73378</v>
      </c>
      <c r="G45" s="15">
        <v>0.89712768972223778</v>
      </c>
      <c r="H45" s="15">
        <v>200</v>
      </c>
      <c r="I45" s="80">
        <v>1801.5226144356373</v>
      </c>
      <c r="J45" s="81">
        <v>0.12657292250856911</v>
      </c>
      <c r="K45" s="15">
        <v>30</v>
      </c>
      <c r="L45" s="15">
        <v>91.615066678184732</v>
      </c>
      <c r="M45" s="15">
        <v>24.382523964240875</v>
      </c>
      <c r="N45" s="15">
        <v>25.739401664939734</v>
      </c>
      <c r="O45" s="15">
        <v>18.81034839829945</v>
      </c>
      <c r="P45" s="15">
        <v>4.7373368764321588</v>
      </c>
      <c r="Q45" s="15">
        <v>2.1917163902081285</v>
      </c>
      <c r="R45" s="15">
        <v>2.1917163902081285</v>
      </c>
      <c r="S45" s="15">
        <v>0</v>
      </c>
      <c r="T45" s="15">
        <v>0</v>
      </c>
      <c r="U45" s="15">
        <v>16320.554457048042</v>
      </c>
      <c r="V45" s="15">
        <v>0</v>
      </c>
      <c r="W45" s="15">
        <v>0</v>
      </c>
      <c r="X45" s="15">
        <v>0</v>
      </c>
      <c r="Y45" s="15">
        <v>2158.9709805379803</v>
      </c>
      <c r="Z45" s="15">
        <v>0</v>
      </c>
      <c r="AA45" s="15">
        <v>596.15300000000002</v>
      </c>
      <c r="AB45" s="15">
        <v>53.439</v>
      </c>
      <c r="AC45" s="15">
        <v>1509.3789805379802</v>
      </c>
      <c r="AD45" s="15">
        <v>357.44836610234302</v>
      </c>
      <c r="AE45" s="15">
        <v>17.703574761252238</v>
      </c>
      <c r="AF45" s="15">
        <v>0</v>
      </c>
      <c r="AG45" s="15">
        <v>0</v>
      </c>
      <c r="AH45" s="15">
        <v>216.74443311164825</v>
      </c>
      <c r="AI45" s="15">
        <v>123.00035822944253</v>
      </c>
      <c r="AJ45" s="15">
        <v>0</v>
      </c>
      <c r="AK45" s="15">
        <v>0</v>
      </c>
      <c r="AL45" s="15">
        <v>0</v>
      </c>
      <c r="AM45" s="15">
        <v>0</v>
      </c>
      <c r="AN45" s="15">
        <v>0.23681816873780734</v>
      </c>
      <c r="AO45" s="15">
        <v>1801.5226144356373</v>
      </c>
      <c r="AP45" s="15">
        <v>234.44800787290049</v>
      </c>
      <c r="AQ45" s="15">
        <v>17.703574761252238</v>
      </c>
      <c r="AR45" s="15">
        <v>0</v>
      </c>
      <c r="AS45" s="15">
        <v>0</v>
      </c>
      <c r="AT45" s="15">
        <v>216.74443311164825</v>
      </c>
      <c r="AU45" s="15">
        <v>945.50658883713345</v>
      </c>
      <c r="AV45" s="15">
        <v>158.25416765936461</v>
      </c>
      <c r="AW45" s="15">
        <v>158.25416765936461</v>
      </c>
      <c r="AX45" s="15">
        <v>0</v>
      </c>
      <c r="AY45" s="15">
        <v>0</v>
      </c>
      <c r="AZ45" s="15">
        <v>494.7444957855019</v>
      </c>
      <c r="BA45" s="15">
        <v>82.718698010625403</v>
      </c>
      <c r="BB45" s="15">
        <v>171.67741573953188</v>
      </c>
      <c r="BC45" s="15">
        <v>240.34838203534463</v>
      </c>
      <c r="BD45" s="15">
        <v>0</v>
      </c>
      <c r="BE45" s="15">
        <v>292.507925392267</v>
      </c>
      <c r="BF45" s="15">
        <v>102.07887453192529</v>
      </c>
      <c r="BG45" s="15">
        <v>1.583132976279912</v>
      </c>
      <c r="BH45" s="15">
        <v>188.84591788406178</v>
      </c>
      <c r="BI45" s="15">
        <v>0</v>
      </c>
      <c r="BJ45" s="15">
        <v>1179.9545967100339</v>
      </c>
      <c r="BK45" s="59">
        <v>1537.4029628123769</v>
      </c>
      <c r="BL45" s="59">
        <v>0.15107139109166828</v>
      </c>
      <c r="BM45" s="59">
        <v>0.12657292250856911</v>
      </c>
    </row>
    <row r="46" spans="1:65" s="58" customFormat="1" x14ac:dyDescent="0.35">
      <c r="A46" s="59" t="s">
        <v>10612</v>
      </c>
      <c r="B46" s="59" t="s">
        <v>10571</v>
      </c>
      <c r="C46" s="59" t="s">
        <v>10637</v>
      </c>
      <c r="D46" s="59" t="s">
        <v>10322</v>
      </c>
      <c r="E46" s="59" t="s">
        <v>10648</v>
      </c>
      <c r="F46" s="59">
        <v>73378</v>
      </c>
      <c r="G46" s="59">
        <v>0.89712768972223778</v>
      </c>
      <c r="H46" s="59">
        <v>200</v>
      </c>
      <c r="I46" s="59">
        <v>749.02431720563322</v>
      </c>
      <c r="J46" s="88">
        <v>0.87593173543978953</v>
      </c>
      <c r="K46" s="59">
        <v>30</v>
      </c>
      <c r="L46" s="59">
        <v>91.560620588688693</v>
      </c>
      <c r="M46" s="59">
        <v>17.774656968432353</v>
      </c>
      <c r="N46" s="59">
        <v>25.739401664939734</v>
      </c>
      <c r="O46" s="59">
        <v>4.7976829036356081</v>
      </c>
      <c r="P46" s="59">
        <v>9.966071104900097</v>
      </c>
      <c r="Q46" s="59">
        <v>10.975647656404028</v>
      </c>
      <c r="R46" s="59">
        <v>2.0527172827789437</v>
      </c>
      <c r="S46" s="59">
        <v>4.3014208046851543</v>
      </c>
      <c r="T46" s="59">
        <v>4.6215095689399295</v>
      </c>
      <c r="U46" s="59">
        <v>0</v>
      </c>
      <c r="V46" s="59">
        <v>0</v>
      </c>
      <c r="W46" s="59">
        <v>781.41992120573866</v>
      </c>
      <c r="X46" s="59">
        <v>0</v>
      </c>
      <c r="Y46" s="59">
        <v>949.79301355741711</v>
      </c>
      <c r="Z46" s="59">
        <v>0</v>
      </c>
      <c r="AA46" s="59">
        <v>596.15300000000002</v>
      </c>
      <c r="AB46" s="59">
        <v>53.439</v>
      </c>
      <c r="AC46" s="59">
        <v>300.20101355741713</v>
      </c>
      <c r="AD46" s="59">
        <v>200.76869635178389</v>
      </c>
      <c r="AE46" s="59">
        <v>-11.927837405433962</v>
      </c>
      <c r="AF46" s="59">
        <v>23.561329403779002</v>
      </c>
      <c r="AG46" s="59">
        <v>50.867774163228184</v>
      </c>
      <c r="AH46" s="59">
        <v>0</v>
      </c>
      <c r="AI46" s="59">
        <v>101.46076875000001</v>
      </c>
      <c r="AJ46" s="59">
        <v>0</v>
      </c>
      <c r="AK46" s="59">
        <v>17.449196390210563</v>
      </c>
      <c r="AL46" s="59">
        <v>0</v>
      </c>
      <c r="AM46" s="59">
        <v>19.357465049999998</v>
      </c>
      <c r="AN46" s="59">
        <v>0.66878087443027379</v>
      </c>
      <c r="AO46" s="59">
        <v>749.02431720563322</v>
      </c>
      <c r="AP46" s="59">
        <v>0</v>
      </c>
      <c r="AQ46" s="59">
        <v>0</v>
      </c>
      <c r="AR46" s="59">
        <v>0</v>
      </c>
      <c r="AS46" s="59">
        <v>0</v>
      </c>
      <c r="AT46" s="59">
        <v>0</v>
      </c>
      <c r="AU46" s="59">
        <v>555.52648726216694</v>
      </c>
      <c r="AV46" s="59">
        <v>106.64006786049794</v>
      </c>
      <c r="AW46" s="59">
        <v>106.64006786049794</v>
      </c>
      <c r="AX46" s="59">
        <v>0</v>
      </c>
      <c r="AY46" s="59">
        <v>0</v>
      </c>
      <c r="AZ46" s="59">
        <v>306.01863602348368</v>
      </c>
      <c r="BA46" s="59">
        <v>76.930878417473053</v>
      </c>
      <c r="BB46" s="59">
        <v>95.453232335837768</v>
      </c>
      <c r="BC46" s="59">
        <v>133.63452527017284</v>
      </c>
      <c r="BD46" s="59">
        <v>0</v>
      </c>
      <c r="BE46" s="59">
        <v>142.86778337818538</v>
      </c>
      <c r="BF46" s="59">
        <v>49.612428796056157</v>
      </c>
      <c r="BG46" s="59">
        <v>1.4723613094253218</v>
      </c>
      <c r="BH46" s="59">
        <v>91.782993272703891</v>
      </c>
      <c r="BI46" s="59">
        <v>0</v>
      </c>
      <c r="BJ46" s="59">
        <v>555.52648726216694</v>
      </c>
      <c r="BK46" s="57">
        <v>756.29518361395083</v>
      </c>
      <c r="BL46" s="57">
        <v>2.1855161722531879</v>
      </c>
      <c r="BM46" s="57">
        <v>0.87593173543978953</v>
      </c>
    </row>
    <row r="47" spans="1:65" s="56" customFormat="1" x14ac:dyDescent="0.35">
      <c r="A47" s="55" t="s">
        <v>10612</v>
      </c>
      <c r="B47" s="55" t="s">
        <v>10639</v>
      </c>
      <c r="C47" s="55" t="s">
        <v>9780</v>
      </c>
      <c r="D47" s="55" t="s">
        <v>9780</v>
      </c>
      <c r="E47" s="55" t="s">
        <v>10649</v>
      </c>
      <c r="F47" s="55">
        <f>F46</f>
        <v>73378</v>
      </c>
      <c r="G47" s="55">
        <f>G46</f>
        <v>0.89712768972223778</v>
      </c>
      <c r="H47" s="55">
        <f>(H46*N46)/(N46)</f>
        <v>200</v>
      </c>
      <c r="I47" s="55">
        <f>(I46*N46)/(N46)</f>
        <v>749.02431720563322</v>
      </c>
      <c r="J47" s="89">
        <f>(J46*N46)/(N46)</f>
        <v>0.87593173543978953</v>
      </c>
      <c r="K47" s="55">
        <f t="shared" ref="K47:W47" si="4">K46</f>
        <v>30</v>
      </c>
      <c r="L47" s="55">
        <f t="shared" si="4"/>
        <v>91.560620588688693</v>
      </c>
      <c r="M47" s="55">
        <f t="shared" si="4"/>
        <v>17.774656968432353</v>
      </c>
      <c r="N47" s="55">
        <f t="shared" si="4"/>
        <v>25.739401664939734</v>
      </c>
      <c r="O47" s="55">
        <f t="shared" si="4"/>
        <v>4.7976829036356081</v>
      </c>
      <c r="P47" s="55">
        <f t="shared" si="4"/>
        <v>9.966071104900097</v>
      </c>
      <c r="Q47" s="55">
        <f t="shared" si="4"/>
        <v>10.975647656404028</v>
      </c>
      <c r="R47" s="55">
        <f t="shared" si="4"/>
        <v>2.0527172827789437</v>
      </c>
      <c r="S47" s="55">
        <f t="shared" si="4"/>
        <v>4.3014208046851543</v>
      </c>
      <c r="T47" s="55">
        <f t="shared" si="4"/>
        <v>4.6215095689399295</v>
      </c>
      <c r="U47" s="55">
        <f t="shared" si="4"/>
        <v>0</v>
      </c>
      <c r="V47" s="55">
        <f t="shared" si="4"/>
        <v>0</v>
      </c>
      <c r="W47" s="55">
        <f t="shared" si="4"/>
        <v>781.41992120573866</v>
      </c>
      <c r="X47" s="55">
        <f>(X46*N46)/(N46)</f>
        <v>0</v>
      </c>
      <c r="Y47" s="55">
        <f>(Y46*N46)/(N46)</f>
        <v>949.79301355741711</v>
      </c>
      <c r="Z47" s="55">
        <f>(Z46*N46)/(N46)</f>
        <v>0</v>
      </c>
      <c r="AA47" s="55">
        <f>(AA46*N46)/(N46)</f>
        <v>596.15300000000002</v>
      </c>
      <c r="AB47" s="55">
        <f>(AB46*N46)/(N46)</f>
        <v>53.439</v>
      </c>
      <c r="AC47" s="55">
        <f>(AC46*N46)/(N46)</f>
        <v>300.20101355741713</v>
      </c>
      <c r="AD47" s="55">
        <f>(AD46*N46)/(N46)</f>
        <v>200.76869635178389</v>
      </c>
      <c r="AE47" s="55">
        <f>(AE46*N46)/(N46)</f>
        <v>-11.927837405433962</v>
      </c>
      <c r="AF47" s="55">
        <f>(AF46*N46)/(N46)</f>
        <v>23.561329403778998</v>
      </c>
      <c r="AG47" s="55">
        <f>(AG46*N46)/(N46)</f>
        <v>50.867774163228184</v>
      </c>
      <c r="AH47" s="55">
        <f>(AH46*N46)/(N46)</f>
        <v>0</v>
      </c>
      <c r="AI47" s="55">
        <f>(AI46*N46)/(N46)</f>
        <v>101.46076875000001</v>
      </c>
      <c r="AJ47" s="55">
        <f>(AJ46*N46)/(N46)</f>
        <v>0</v>
      </c>
      <c r="AK47" s="55">
        <f>(AK46*N46)/(N46)</f>
        <v>17.449196390210563</v>
      </c>
      <c r="AL47" s="55">
        <f>(AL46*N46)/(N46)</f>
        <v>0</v>
      </c>
      <c r="AM47" s="55">
        <f>(AM46*N46)/(N46)</f>
        <v>19.357465049999998</v>
      </c>
      <c r="AN47" s="55">
        <f>(AN46*N46)/(N46)</f>
        <v>0.66878087443027379</v>
      </c>
      <c r="AO47" s="55">
        <f>(AO46*N46)/(N46)</f>
        <v>749.02431720563322</v>
      </c>
      <c r="AP47" s="55">
        <f>(AP46*N46)/(N46)</f>
        <v>0</v>
      </c>
      <c r="AQ47" s="55">
        <f>(AQ46*N46)/(N46)</f>
        <v>0</v>
      </c>
      <c r="AR47" s="55">
        <f>(AR46*N46)/(N46)</f>
        <v>0</v>
      </c>
      <c r="AS47" s="55">
        <f>(AS46*N46)/(N46)</f>
        <v>0</v>
      </c>
      <c r="AT47" s="55">
        <f>(AT46*N46)/(N46)</f>
        <v>0</v>
      </c>
      <c r="AU47" s="55">
        <f>(AU46*N46)/(N46)</f>
        <v>555.52648726216694</v>
      </c>
      <c r="AV47" s="55">
        <f>(AV46*N46)/(N46)</f>
        <v>106.64006786049795</v>
      </c>
      <c r="AW47" s="55">
        <f>(AW46*N46)/(N46)</f>
        <v>106.64006786049795</v>
      </c>
      <c r="AX47" s="55">
        <f>(AX46*N46)/(N46)</f>
        <v>0</v>
      </c>
      <c r="AY47" s="55">
        <f>(AY46*N46)/(N46)</f>
        <v>0</v>
      </c>
      <c r="AZ47" s="55">
        <f>(AZ46*N46)/(N46)</f>
        <v>306.01863602348368</v>
      </c>
      <c r="BA47" s="55">
        <f>(BA46*N46)/(N46)</f>
        <v>76.930878417473053</v>
      </c>
      <c r="BB47" s="55">
        <f>(BB46*N46)/(N46)</f>
        <v>95.453232335837782</v>
      </c>
      <c r="BC47" s="55">
        <f>(BC46*N46)/(N46)</f>
        <v>133.63452527017284</v>
      </c>
      <c r="BD47" s="55">
        <f>(BD46*N46)/(N46)</f>
        <v>0</v>
      </c>
      <c r="BE47" s="55">
        <f>(BE46*N46)/(N46)</f>
        <v>142.86778337818538</v>
      </c>
      <c r="BF47" s="55">
        <f>(BF46*N46)/(N46)</f>
        <v>49.612428796056157</v>
      </c>
      <c r="BG47" s="55">
        <f>(BG46*N46)/(N46)</f>
        <v>1.4723613094253218</v>
      </c>
      <c r="BH47" s="55">
        <f>(BH46*N46)/(N46)</f>
        <v>91.782993272703891</v>
      </c>
      <c r="BI47" s="55">
        <f>(BI46*N46)/(N46)</f>
        <v>0</v>
      </c>
      <c r="BJ47" s="55">
        <f>(BJ46*N46)/(N46)</f>
        <v>555.52648726216694</v>
      </c>
      <c r="BK47" s="55">
        <f>(BK46*N46)/(N46)</f>
        <v>756.29518361395083</v>
      </c>
      <c r="BL47" s="55">
        <f>(BL46*N46)/(N46)</f>
        <v>2.1855161722531879</v>
      </c>
      <c r="BM47" s="55">
        <f>(BM46*N46)/(N46)</f>
        <v>0.87593173543978953</v>
      </c>
    </row>
    <row r="48" spans="1:65" x14ac:dyDescent="0.35">
      <c r="A48" s="15" t="s">
        <v>10621</v>
      </c>
      <c r="B48" s="15" t="s">
        <v>10571</v>
      </c>
      <c r="C48" s="15" t="s">
        <v>10572</v>
      </c>
      <c r="D48" s="15" t="s">
        <v>10321</v>
      </c>
      <c r="E48" s="15" t="s">
        <v>10650</v>
      </c>
      <c r="F48" s="15">
        <v>73378</v>
      </c>
      <c r="G48" s="15">
        <v>0.89712768972223778</v>
      </c>
      <c r="H48" s="15">
        <v>200</v>
      </c>
      <c r="I48" s="80">
        <v>754.72295212485778</v>
      </c>
      <c r="J48" s="79">
        <v>0.71625771776413638</v>
      </c>
      <c r="K48" s="15">
        <v>30</v>
      </c>
      <c r="L48" s="15">
        <v>59.736315594774261</v>
      </c>
      <c r="M48" s="15">
        <v>14.573926322454408</v>
      </c>
      <c r="N48" s="15">
        <v>25.739401664939734</v>
      </c>
      <c r="O48" s="15">
        <v>4.7976829036356081</v>
      </c>
      <c r="P48" s="15">
        <v>9.966071104900097</v>
      </c>
      <c r="Q48" s="15">
        <v>10.975647656404028</v>
      </c>
      <c r="R48" s="15">
        <v>2.0527172827789437</v>
      </c>
      <c r="S48" s="15">
        <v>4.3014208046851543</v>
      </c>
      <c r="T48" s="15">
        <v>4.6215095689399295</v>
      </c>
      <c r="U48" s="15">
        <v>0</v>
      </c>
      <c r="V48" s="15">
        <v>3125.6796848229546</v>
      </c>
      <c r="W48" s="15">
        <v>0</v>
      </c>
      <c r="X48" s="15">
        <v>0</v>
      </c>
      <c r="Y48" s="15">
        <v>896.35401355741715</v>
      </c>
      <c r="Z48" s="15">
        <v>0</v>
      </c>
      <c r="AA48" s="15">
        <v>596.15300000000002</v>
      </c>
      <c r="AB48" s="15">
        <v>0</v>
      </c>
      <c r="AC48" s="15">
        <v>300.20101355741713</v>
      </c>
      <c r="AD48" s="15">
        <v>141.63106143255936</v>
      </c>
      <c r="AE48" s="15">
        <v>10.497023283962299</v>
      </c>
      <c r="AF48" s="15">
        <v>0</v>
      </c>
      <c r="AG48" s="15">
        <v>0</v>
      </c>
      <c r="AH48" s="15">
        <v>29.67326939859694</v>
      </c>
      <c r="AI48" s="15">
        <v>101.46076875000001</v>
      </c>
      <c r="AJ48" s="15">
        <v>0</v>
      </c>
      <c r="AK48" s="15">
        <v>0</v>
      </c>
      <c r="AL48" s="15">
        <v>0</v>
      </c>
      <c r="AM48" s="15">
        <v>0</v>
      </c>
      <c r="AN48" s="15">
        <v>0.47178741921692641</v>
      </c>
      <c r="AO48" s="15">
        <v>754.72295212485778</v>
      </c>
      <c r="AP48" s="15">
        <v>40.170292682559236</v>
      </c>
      <c r="AQ48" s="15">
        <v>10.497023283962299</v>
      </c>
      <c r="AR48" s="15">
        <v>0</v>
      </c>
      <c r="AS48" s="15">
        <v>0</v>
      </c>
      <c r="AT48" s="15">
        <v>29.67326939859694</v>
      </c>
      <c r="AU48" s="15">
        <v>458.97579867546074</v>
      </c>
      <c r="AV48" s="15">
        <v>61.280874999999995</v>
      </c>
      <c r="AW48" s="15">
        <v>61.280874999999995</v>
      </c>
      <c r="AX48" s="15">
        <v>0</v>
      </c>
      <c r="AY48" s="15">
        <v>0</v>
      </c>
      <c r="AZ48" s="15">
        <v>274.21638214136817</v>
      </c>
      <c r="BA48" s="15">
        <v>76.930878417473053</v>
      </c>
      <c r="BB48" s="15">
        <v>82.20229321828964</v>
      </c>
      <c r="BC48" s="15">
        <v>115.08321050560551</v>
      </c>
      <c r="BD48" s="15">
        <v>0</v>
      </c>
      <c r="BE48" s="15">
        <v>123.47854153409257</v>
      </c>
      <c r="BF48" s="15">
        <v>42.809186043742898</v>
      </c>
      <c r="BG48" s="15">
        <v>1.4723613094253218</v>
      </c>
      <c r="BH48" s="15">
        <v>79.196994180924349</v>
      </c>
      <c r="BI48" s="15">
        <v>0</v>
      </c>
      <c r="BJ48" s="15">
        <v>499.14609135801999</v>
      </c>
      <c r="BK48" s="15">
        <v>640.77715279057929</v>
      </c>
      <c r="BL48" s="15">
        <v>1.8007139044178155</v>
      </c>
      <c r="BM48" s="15">
        <v>0.71625771776413638</v>
      </c>
    </row>
    <row r="49" spans="1:65" x14ac:dyDescent="0.35">
      <c r="A49" s="15" t="s">
        <v>10621</v>
      </c>
      <c r="B49" s="15" t="s">
        <v>10571</v>
      </c>
      <c r="C49" s="15" t="s">
        <v>10572</v>
      </c>
      <c r="D49" s="15" t="s">
        <v>10322</v>
      </c>
      <c r="E49" s="15" t="s">
        <v>10651</v>
      </c>
      <c r="F49" s="15">
        <v>73378</v>
      </c>
      <c r="G49" s="15">
        <v>0.89712768972223778</v>
      </c>
      <c r="H49" s="15">
        <v>200</v>
      </c>
      <c r="I49" s="80">
        <v>1039.2789502894768</v>
      </c>
      <c r="J49" s="81">
        <v>0.24878236949116006</v>
      </c>
      <c r="K49" s="15">
        <v>30</v>
      </c>
      <c r="L49" s="15">
        <v>59.736315594774261</v>
      </c>
      <c r="M49" s="15">
        <v>14.573926322454408</v>
      </c>
      <c r="N49" s="15">
        <v>25.739401664939734</v>
      </c>
      <c r="O49" s="15">
        <v>4.7976829036356081</v>
      </c>
      <c r="P49" s="15">
        <v>9.966071104900097</v>
      </c>
      <c r="Q49" s="15">
        <v>10.975647656404028</v>
      </c>
      <c r="R49" s="15">
        <v>2.0527172827789437</v>
      </c>
      <c r="S49" s="15">
        <v>4.3014208046851543</v>
      </c>
      <c r="T49" s="15">
        <v>4.6215095689399295</v>
      </c>
      <c r="U49" s="15">
        <v>0</v>
      </c>
      <c r="V49" s="15">
        <v>0</v>
      </c>
      <c r="W49" s="15">
        <v>781.41992120573866</v>
      </c>
      <c r="X49" s="15">
        <v>0</v>
      </c>
      <c r="Y49" s="15">
        <v>896.35401355741715</v>
      </c>
      <c r="Z49" s="15">
        <v>0</v>
      </c>
      <c r="AA49" s="15">
        <v>596.15300000000002</v>
      </c>
      <c r="AB49" s="15">
        <v>0</v>
      </c>
      <c r="AC49" s="15">
        <v>300.20101355741713</v>
      </c>
      <c r="AD49" s="15">
        <v>-142.92493673205968</v>
      </c>
      <c r="AE49" s="15">
        <v>-11.927837405433962</v>
      </c>
      <c r="AF49" s="15">
        <v>23.561329403779002</v>
      </c>
      <c r="AG49" s="15">
        <v>-271.14341987240073</v>
      </c>
      <c r="AH49" s="15">
        <v>0</v>
      </c>
      <c r="AI49" s="15">
        <v>101.46076875000001</v>
      </c>
      <c r="AJ49" s="15">
        <v>0</v>
      </c>
      <c r="AK49" s="15">
        <v>15.124222391996094</v>
      </c>
      <c r="AL49" s="15">
        <v>0</v>
      </c>
      <c r="AM49" s="15">
        <v>0</v>
      </c>
      <c r="AN49" s="15">
        <v>-0.47609744896721851</v>
      </c>
      <c r="AO49" s="15">
        <v>1039.2789502894768</v>
      </c>
      <c r="AP49" s="15">
        <v>0</v>
      </c>
      <c r="AQ49" s="15">
        <v>0</v>
      </c>
      <c r="AR49" s="15">
        <v>0</v>
      </c>
      <c r="AS49" s="15">
        <v>0</v>
      </c>
      <c r="AT49" s="15">
        <v>0</v>
      </c>
      <c r="AU49" s="15">
        <v>501.68023010477839</v>
      </c>
      <c r="AV49" s="15">
        <v>61.280874999999995</v>
      </c>
      <c r="AW49" s="15">
        <v>61.280874999999995</v>
      </c>
      <c r="AX49" s="15">
        <v>0</v>
      </c>
      <c r="AY49" s="15">
        <v>0</v>
      </c>
      <c r="AZ49" s="15">
        <v>274.21638214136817</v>
      </c>
      <c r="BA49" s="15">
        <v>76.930878417473053</v>
      </c>
      <c r="BB49" s="15">
        <v>82.20229321828964</v>
      </c>
      <c r="BC49" s="15">
        <v>115.08321050560551</v>
      </c>
      <c r="BD49" s="15">
        <v>0</v>
      </c>
      <c r="BE49" s="15">
        <v>166.18297296341024</v>
      </c>
      <c r="BF49" s="15">
        <v>57.793197071573651</v>
      </c>
      <c r="BG49" s="15">
        <v>1.4723613094253218</v>
      </c>
      <c r="BH49" s="15">
        <v>106.91741458241125</v>
      </c>
      <c r="BI49" s="15">
        <v>0</v>
      </c>
      <c r="BJ49" s="15">
        <v>501.68023010477839</v>
      </c>
      <c r="BK49" s="15">
        <v>358.75529337271871</v>
      </c>
      <c r="BL49" s="15">
        <v>0.86127050922114856</v>
      </c>
      <c r="BM49" s="15">
        <v>0.24878236949116006</v>
      </c>
    </row>
    <row r="50" spans="1:65" x14ac:dyDescent="0.35">
      <c r="A50" s="15" t="s">
        <v>10621</v>
      </c>
      <c r="B50" s="15" t="s">
        <v>10571</v>
      </c>
      <c r="C50" s="15" t="s">
        <v>10572</v>
      </c>
      <c r="D50" s="15" t="s">
        <v>10323</v>
      </c>
      <c r="E50" s="15" t="s">
        <v>10652</v>
      </c>
      <c r="F50" s="15">
        <v>73378</v>
      </c>
      <c r="G50" s="15">
        <v>0.89712768972223778</v>
      </c>
      <c r="H50" s="15">
        <v>200</v>
      </c>
      <c r="I50" s="80">
        <v>782.07013961343728</v>
      </c>
      <c r="J50" s="79">
        <v>0.61437282701658469</v>
      </c>
      <c r="K50" s="15">
        <v>30</v>
      </c>
      <c r="L50" s="15">
        <v>59.736315594774261</v>
      </c>
      <c r="M50" s="15">
        <v>14.573926322454408</v>
      </c>
      <c r="N50" s="15">
        <v>25.739401664939734</v>
      </c>
      <c r="O50" s="15">
        <v>4.7976829036356081</v>
      </c>
      <c r="P50" s="15">
        <v>9.966071104900097</v>
      </c>
      <c r="Q50" s="15">
        <v>10.975647656404028</v>
      </c>
      <c r="R50" s="15">
        <v>2.0527172827789437</v>
      </c>
      <c r="S50" s="15">
        <v>4.3014208046851543</v>
      </c>
      <c r="T50" s="15">
        <v>4.6215095689399295</v>
      </c>
      <c r="U50" s="15">
        <v>0</v>
      </c>
      <c r="V50" s="15">
        <v>0</v>
      </c>
      <c r="W50" s="15">
        <v>0</v>
      </c>
      <c r="X50" s="15">
        <v>781419.92120573868</v>
      </c>
      <c r="Y50" s="15">
        <v>896.35401355741715</v>
      </c>
      <c r="Z50" s="15">
        <v>0</v>
      </c>
      <c r="AA50" s="15">
        <v>596.15300000000002</v>
      </c>
      <c r="AB50" s="15">
        <v>0</v>
      </c>
      <c r="AC50" s="15">
        <v>300.20101355741713</v>
      </c>
      <c r="AD50" s="15">
        <v>114.28387394397987</v>
      </c>
      <c r="AE50" s="15">
        <v>-11.927837405433962</v>
      </c>
      <c r="AF50" s="15">
        <v>0</v>
      </c>
      <c r="AG50" s="15">
        <v>0</v>
      </c>
      <c r="AH50" s="15">
        <v>0</v>
      </c>
      <c r="AI50" s="15">
        <v>101.46076875000001</v>
      </c>
      <c r="AJ50" s="15">
        <v>0</v>
      </c>
      <c r="AK50" s="15">
        <v>24.750942599413754</v>
      </c>
      <c r="AL50" s="15">
        <v>0</v>
      </c>
      <c r="AM50" s="15">
        <v>0</v>
      </c>
      <c r="AN50" s="15">
        <v>0.3806911661946194</v>
      </c>
      <c r="AO50" s="15">
        <v>782.07013961343728</v>
      </c>
      <c r="AP50" s="15">
        <v>0</v>
      </c>
      <c r="AQ50" s="15">
        <v>0</v>
      </c>
      <c r="AR50" s="15">
        <v>0</v>
      </c>
      <c r="AS50" s="15">
        <v>0</v>
      </c>
      <c r="AT50" s="15">
        <v>0</v>
      </c>
      <c r="AU50" s="15">
        <v>466.39978221299975</v>
      </c>
      <c r="AV50" s="15">
        <v>61.280874999999995</v>
      </c>
      <c r="AW50" s="15">
        <v>61.280874999999995</v>
      </c>
      <c r="AX50" s="15">
        <v>0</v>
      </c>
      <c r="AY50" s="15">
        <v>0</v>
      </c>
      <c r="AZ50" s="15">
        <v>274.21638214136817</v>
      </c>
      <c r="BA50" s="15">
        <v>76.930878417473053</v>
      </c>
      <c r="BB50" s="15">
        <v>82.20229321828964</v>
      </c>
      <c r="BC50" s="15">
        <v>115.08321050560551</v>
      </c>
      <c r="BD50" s="15">
        <v>0</v>
      </c>
      <c r="BE50" s="15">
        <v>130.9025250716316</v>
      </c>
      <c r="BF50" s="15">
        <v>45.414092548142555</v>
      </c>
      <c r="BG50" s="15">
        <v>1.4723613094253218</v>
      </c>
      <c r="BH50" s="15">
        <v>84.016071214063729</v>
      </c>
      <c r="BI50" s="15">
        <v>0</v>
      </c>
      <c r="BJ50" s="15">
        <v>466.39978221299975</v>
      </c>
      <c r="BK50" s="15">
        <v>580.68365615697962</v>
      </c>
      <c r="BL50" s="15">
        <v>1.6005363769621794</v>
      </c>
      <c r="BM50" s="15">
        <v>0.61437282701658469</v>
      </c>
    </row>
    <row r="51" spans="1:65" x14ac:dyDescent="0.35">
      <c r="A51" s="15" t="s">
        <v>10621</v>
      </c>
      <c r="B51" s="15" t="s">
        <v>10571</v>
      </c>
      <c r="C51" s="15" t="s">
        <v>10572</v>
      </c>
      <c r="D51" s="15" t="s">
        <v>10324</v>
      </c>
      <c r="E51" s="15" t="s">
        <v>10653</v>
      </c>
      <c r="F51" s="15">
        <v>73378</v>
      </c>
      <c r="G51" s="15">
        <v>0.89712768972223778</v>
      </c>
      <c r="H51" s="15">
        <v>200</v>
      </c>
      <c r="I51" s="80">
        <v>775.29209951045323</v>
      </c>
      <c r="J51" s="79">
        <v>0.59234023542140612</v>
      </c>
      <c r="K51" s="15">
        <v>30</v>
      </c>
      <c r="L51" s="15">
        <v>60.706740107939652</v>
      </c>
      <c r="M51" s="15">
        <v>14.0870620975591</v>
      </c>
      <c r="N51" s="15">
        <v>25.739401664939734</v>
      </c>
      <c r="O51" s="15">
        <v>3.616900721957331</v>
      </c>
      <c r="P51" s="15">
        <v>10.387779026928055</v>
      </c>
      <c r="Q51" s="15">
        <v>11.734721916054349</v>
      </c>
      <c r="R51" s="15">
        <v>2.0527172827789437</v>
      </c>
      <c r="S51" s="15">
        <v>5.060495064335476</v>
      </c>
      <c r="T51" s="15">
        <v>4.6215095689399295</v>
      </c>
      <c r="U51" s="15">
        <v>0</v>
      </c>
      <c r="V51" s="15">
        <v>0</v>
      </c>
      <c r="W51" s="15">
        <v>0</v>
      </c>
      <c r="X51" s="15">
        <v>0</v>
      </c>
      <c r="Y51" s="15">
        <v>863.75717534542673</v>
      </c>
      <c r="Z51" s="15">
        <v>0</v>
      </c>
      <c r="AA51" s="15">
        <v>596.15300000000002</v>
      </c>
      <c r="AB51" s="15">
        <v>0</v>
      </c>
      <c r="AC51" s="15">
        <v>267.60417534542665</v>
      </c>
      <c r="AD51" s="15">
        <v>88.465075834973504</v>
      </c>
      <c r="AE51" s="15">
        <v>-12.995692915026606</v>
      </c>
      <c r="AF51" s="15">
        <v>0</v>
      </c>
      <c r="AG51" s="15">
        <v>0</v>
      </c>
      <c r="AH51" s="15">
        <v>0</v>
      </c>
      <c r="AI51" s="15">
        <v>101.46076875000001</v>
      </c>
      <c r="AJ51" s="15">
        <v>0</v>
      </c>
      <c r="AK51" s="15">
        <v>0</v>
      </c>
      <c r="AL51" s="15">
        <v>0</v>
      </c>
      <c r="AM51" s="15">
        <v>0</v>
      </c>
      <c r="AN51" s="15">
        <v>0.33058182190461616</v>
      </c>
      <c r="AO51" s="15">
        <v>775.29209951045323</v>
      </c>
      <c r="AP51" s="15">
        <v>0</v>
      </c>
      <c r="AQ51" s="15">
        <v>0</v>
      </c>
      <c r="AR51" s="15">
        <v>0</v>
      </c>
      <c r="AS51" s="15">
        <v>0</v>
      </c>
      <c r="AT51" s="15">
        <v>0</v>
      </c>
      <c r="AU51" s="15">
        <v>438.37580425483122</v>
      </c>
      <c r="AV51" s="15">
        <v>59.642499999999991</v>
      </c>
      <c r="AW51" s="15">
        <v>59.642499999999991</v>
      </c>
      <c r="AX51" s="15">
        <v>0</v>
      </c>
      <c r="AY51" s="15">
        <v>0</v>
      </c>
      <c r="AZ51" s="15">
        <v>252.32365921829128</v>
      </c>
      <c r="BA51" s="15">
        <v>76.930878417473053</v>
      </c>
      <c r="BB51" s="15">
        <v>73.080325333674253</v>
      </c>
      <c r="BC51" s="15">
        <v>102.31245546714396</v>
      </c>
      <c r="BD51" s="15">
        <v>0</v>
      </c>
      <c r="BE51" s="15">
        <v>126.40964503653993</v>
      </c>
      <c r="BF51" s="15">
        <v>43.837643413022668</v>
      </c>
      <c r="BG51" s="15">
        <v>1.4723613094253218</v>
      </c>
      <c r="BH51" s="15">
        <v>81.099640314091928</v>
      </c>
      <c r="BI51" s="15">
        <v>0</v>
      </c>
      <c r="BJ51" s="15">
        <v>438.37580425483122</v>
      </c>
      <c r="BK51" s="15">
        <v>526.84088008980473</v>
      </c>
      <c r="BL51" s="15">
        <v>1.7161044073829934</v>
      </c>
      <c r="BM51" s="15">
        <v>0.59234023542140612</v>
      </c>
    </row>
    <row r="52" spans="1:65" x14ac:dyDescent="0.35">
      <c r="A52" s="15" t="s">
        <v>10621</v>
      </c>
      <c r="B52" s="15" t="s">
        <v>10571</v>
      </c>
      <c r="C52" s="15" t="s">
        <v>10572</v>
      </c>
      <c r="D52" s="15" t="s">
        <v>10325</v>
      </c>
      <c r="E52" s="15" t="s">
        <v>10654</v>
      </c>
      <c r="F52" s="15">
        <v>73378</v>
      </c>
      <c r="G52" s="15">
        <v>0.89712768972223778</v>
      </c>
      <c r="H52" s="15">
        <v>200</v>
      </c>
      <c r="I52" s="80">
        <v>837.94990753955824</v>
      </c>
      <c r="J52" s="79">
        <v>0.47842852823680737</v>
      </c>
      <c r="K52" s="15">
        <v>30</v>
      </c>
      <c r="L52" s="15">
        <v>55.852699413841925</v>
      </c>
      <c r="M52" s="15">
        <v>13.368912312604044</v>
      </c>
      <c r="N52" s="15">
        <v>25.739401664939734</v>
      </c>
      <c r="O52" s="15">
        <v>5.7681355646088317</v>
      </c>
      <c r="P52" s="15">
        <v>9.0041574904292183</v>
      </c>
      <c r="Q52" s="15">
        <v>10.967108609901684</v>
      </c>
      <c r="R52" s="15">
        <v>2.0527172827789437</v>
      </c>
      <c r="S52" s="15">
        <v>0</v>
      </c>
      <c r="T52" s="15">
        <v>8.9143913271227433</v>
      </c>
      <c r="U52" s="15">
        <v>0</v>
      </c>
      <c r="V52" s="15">
        <v>0</v>
      </c>
      <c r="W52" s="15">
        <v>0</v>
      </c>
      <c r="X52" s="15">
        <v>0</v>
      </c>
      <c r="Y52" s="15">
        <v>927.20865178408587</v>
      </c>
      <c r="Z52" s="15">
        <v>0</v>
      </c>
      <c r="AA52" s="15">
        <v>596.15300000000002</v>
      </c>
      <c r="AB52" s="15">
        <v>0</v>
      </c>
      <c r="AC52" s="15">
        <v>331.05565178408585</v>
      </c>
      <c r="AD52" s="15">
        <v>89.258744244527634</v>
      </c>
      <c r="AE52" s="15">
        <v>-12.202024505472439</v>
      </c>
      <c r="AF52" s="15">
        <v>0</v>
      </c>
      <c r="AG52" s="15">
        <v>0</v>
      </c>
      <c r="AH52" s="15">
        <v>0</v>
      </c>
      <c r="AI52" s="15">
        <v>101.46076875000001</v>
      </c>
      <c r="AJ52" s="15">
        <v>0</v>
      </c>
      <c r="AK52" s="15">
        <v>0</v>
      </c>
      <c r="AL52" s="15">
        <v>0</v>
      </c>
      <c r="AM52" s="15">
        <v>0</v>
      </c>
      <c r="AN52" s="15">
        <v>0.26961854831205873</v>
      </c>
      <c r="AO52" s="15">
        <v>837.94990753955824</v>
      </c>
      <c r="AP52" s="15">
        <v>0</v>
      </c>
      <c r="AQ52" s="15">
        <v>0</v>
      </c>
      <c r="AR52" s="15">
        <v>0</v>
      </c>
      <c r="AS52" s="15">
        <v>0</v>
      </c>
      <c r="AT52" s="15">
        <v>0</v>
      </c>
      <c r="AU52" s="15">
        <v>442.69604853987784</v>
      </c>
      <c r="AV52" s="15">
        <v>65.018000000000001</v>
      </c>
      <c r="AW52" s="15">
        <v>65.018000000000001</v>
      </c>
      <c r="AX52" s="15">
        <v>0</v>
      </c>
      <c r="AY52" s="15">
        <v>0</v>
      </c>
      <c r="AZ52" s="15">
        <v>242.3396658591904</v>
      </c>
      <c r="BA52" s="15">
        <v>76.930878417473053</v>
      </c>
      <c r="BB52" s="15">
        <v>68.920328100715565</v>
      </c>
      <c r="BC52" s="15">
        <v>96.488459341001786</v>
      </c>
      <c r="BD52" s="15">
        <v>0</v>
      </c>
      <c r="BE52" s="15">
        <v>135.3383826806874</v>
      </c>
      <c r="BF52" s="15">
        <v>46.970533814477918</v>
      </c>
      <c r="BG52" s="15">
        <v>1.4723613094253218</v>
      </c>
      <c r="BH52" s="15">
        <v>86.895487556784147</v>
      </c>
      <c r="BI52" s="15">
        <v>0</v>
      </c>
      <c r="BJ52" s="15">
        <v>442.69604853987784</v>
      </c>
      <c r="BK52" s="15">
        <v>531.95479278440553</v>
      </c>
      <c r="BL52" s="15">
        <v>1.2109720490794873</v>
      </c>
      <c r="BM52" s="15">
        <v>0.47842852823680737</v>
      </c>
    </row>
    <row r="53" spans="1:65" x14ac:dyDescent="0.35">
      <c r="A53" s="15" t="s">
        <v>10621</v>
      </c>
      <c r="B53" s="15" t="s">
        <v>10571</v>
      </c>
      <c r="C53" s="15" t="s">
        <v>10572</v>
      </c>
      <c r="D53" s="15" t="s">
        <v>10326</v>
      </c>
      <c r="E53" s="15" t="s">
        <v>10655</v>
      </c>
      <c r="F53" s="15">
        <v>73378</v>
      </c>
      <c r="G53" s="15">
        <v>0.89712768972223778</v>
      </c>
      <c r="H53" s="15">
        <v>200</v>
      </c>
      <c r="I53" s="80">
        <v>681.49867208714295</v>
      </c>
      <c r="J53" s="79">
        <v>1.4226194092175497</v>
      </c>
      <c r="K53" s="15">
        <v>30</v>
      </c>
      <c r="L53" s="15">
        <v>55.852699413841925</v>
      </c>
      <c r="M53" s="15">
        <v>12.970604400316054</v>
      </c>
      <c r="N53" s="15">
        <v>25.739401664939734</v>
      </c>
      <c r="O53" s="15">
        <v>18.81034839829945</v>
      </c>
      <c r="P53" s="15">
        <v>4.7373368764321588</v>
      </c>
      <c r="Q53" s="15">
        <v>2.1917163902081285</v>
      </c>
      <c r="R53" s="15">
        <v>2.1917163902081285</v>
      </c>
      <c r="S53" s="15">
        <v>0</v>
      </c>
      <c r="T53" s="15">
        <v>0</v>
      </c>
      <c r="U53" s="15">
        <v>16320.554457048042</v>
      </c>
      <c r="V53" s="15">
        <v>0</v>
      </c>
      <c r="W53" s="15">
        <v>0</v>
      </c>
      <c r="X53" s="15">
        <v>0</v>
      </c>
      <c r="Y53" s="15">
        <v>1213.4112104221485</v>
      </c>
      <c r="Z53" s="15">
        <v>0</v>
      </c>
      <c r="AA53" s="15">
        <v>596.15300000000002</v>
      </c>
      <c r="AB53" s="15">
        <v>0</v>
      </c>
      <c r="AC53" s="15">
        <v>617.25821042214864</v>
      </c>
      <c r="AD53" s="15">
        <v>531.91253833500559</v>
      </c>
      <c r="AE53" s="15">
        <v>10.009211653494058</v>
      </c>
      <c r="AF53" s="15">
        <v>0</v>
      </c>
      <c r="AG53" s="15">
        <v>0</v>
      </c>
      <c r="AH53" s="15">
        <v>398.90296845206899</v>
      </c>
      <c r="AI53" s="15">
        <v>123.00035822944253</v>
      </c>
      <c r="AJ53" s="15">
        <v>0</v>
      </c>
      <c r="AK53" s="15">
        <v>0</v>
      </c>
      <c r="AL53" s="15">
        <v>0</v>
      </c>
      <c r="AM53" s="15">
        <v>0</v>
      </c>
      <c r="AN53" s="15">
        <v>0.86173424565908274</v>
      </c>
      <c r="AO53" s="15">
        <v>681.49867208714295</v>
      </c>
      <c r="AP53" s="15">
        <v>408.91218010556304</v>
      </c>
      <c r="AQ53" s="15">
        <v>10.009211653494058</v>
      </c>
      <c r="AR53" s="15">
        <v>0</v>
      </c>
      <c r="AS53" s="15">
        <v>0</v>
      </c>
      <c r="AT53" s="15">
        <v>398.90296845206899</v>
      </c>
      <c r="AU53" s="15">
        <v>445.94673024873612</v>
      </c>
      <c r="AV53" s="15">
        <v>81.594999999999999</v>
      </c>
      <c r="AW53" s="15">
        <v>81.594999999999999</v>
      </c>
      <c r="AX53" s="15">
        <v>0</v>
      </c>
      <c r="AY53" s="15">
        <v>0</v>
      </c>
      <c r="AZ53" s="15">
        <v>248.12748545234274</v>
      </c>
      <c r="BA53" s="15">
        <v>82.718698010625403</v>
      </c>
      <c r="BB53" s="15">
        <v>68.920328100715565</v>
      </c>
      <c r="BC53" s="15">
        <v>96.488459341001786</v>
      </c>
      <c r="BD53" s="15">
        <v>0</v>
      </c>
      <c r="BE53" s="15">
        <v>116.22424479639335</v>
      </c>
      <c r="BF53" s="15">
        <v>40.224951515829275</v>
      </c>
      <c r="BG53" s="15">
        <v>1.583132976279912</v>
      </c>
      <c r="BH53" s="15">
        <v>74.416160304284162</v>
      </c>
      <c r="BI53" s="15">
        <v>0</v>
      </c>
      <c r="BJ53" s="15">
        <v>854.85891035429916</v>
      </c>
      <c r="BK53" s="15">
        <v>1386.7714486893046</v>
      </c>
      <c r="BL53" s="15">
        <v>1.570676941832976</v>
      </c>
      <c r="BM53" s="15">
        <v>1.4226194092175497</v>
      </c>
    </row>
    <row r="54" spans="1:65" s="60" customFormat="1" x14ac:dyDescent="0.35">
      <c r="A54" s="15" t="s">
        <v>10621</v>
      </c>
      <c r="B54" s="15" t="s">
        <v>10571</v>
      </c>
      <c r="C54" s="15" t="s">
        <v>10572</v>
      </c>
      <c r="D54" s="15" t="s">
        <v>10327</v>
      </c>
      <c r="E54" s="15" t="s">
        <v>10656</v>
      </c>
      <c r="F54" s="15">
        <v>73378</v>
      </c>
      <c r="G54" s="15">
        <v>0.89712768972223778</v>
      </c>
      <c r="H54" s="15">
        <v>200</v>
      </c>
      <c r="I54" s="80">
        <v>1689.6880934305213</v>
      </c>
      <c r="J54" s="81">
        <v>0.12479459105403946</v>
      </c>
      <c r="K54" s="15">
        <v>30</v>
      </c>
      <c r="L54" s="15">
        <v>62.122276211833146</v>
      </c>
      <c r="M54" s="15">
        <v>21.325086810899567</v>
      </c>
      <c r="N54" s="15">
        <v>25.739401664939734</v>
      </c>
      <c r="O54" s="15">
        <v>18.81034839829945</v>
      </c>
      <c r="P54" s="15">
        <v>4.7373368764321588</v>
      </c>
      <c r="Q54" s="15">
        <v>2.1917163902081285</v>
      </c>
      <c r="R54" s="15">
        <v>2.1917163902081285</v>
      </c>
      <c r="S54" s="15">
        <v>0</v>
      </c>
      <c r="T54" s="15">
        <v>0</v>
      </c>
      <c r="U54" s="15">
        <v>16320.554457048042</v>
      </c>
      <c r="V54" s="15">
        <v>0</v>
      </c>
      <c r="W54" s="15">
        <v>0</v>
      </c>
      <c r="X54" s="15">
        <v>0</v>
      </c>
      <c r="Y54" s="15">
        <v>2110.8841455534898</v>
      </c>
      <c r="Z54" s="15">
        <v>0</v>
      </c>
      <c r="AA54" s="15">
        <v>596.15300000000002</v>
      </c>
      <c r="AB54" s="15">
        <v>0</v>
      </c>
      <c r="AC54" s="15">
        <v>1514.7311455534898</v>
      </c>
      <c r="AD54" s="15">
        <v>421.19605212296847</v>
      </c>
      <c r="AE54" s="15">
        <v>23.055739776761712</v>
      </c>
      <c r="AF54" s="15">
        <v>0</v>
      </c>
      <c r="AG54" s="15">
        <v>0</v>
      </c>
      <c r="AH54" s="15">
        <v>275.13995411676444</v>
      </c>
      <c r="AI54" s="15">
        <v>123.00035822944253</v>
      </c>
      <c r="AJ54" s="15">
        <v>0</v>
      </c>
      <c r="AK54" s="15">
        <v>0</v>
      </c>
      <c r="AL54" s="15">
        <v>0</v>
      </c>
      <c r="AM54" s="15">
        <v>0</v>
      </c>
      <c r="AN54" s="15">
        <v>0.27806654227675598</v>
      </c>
      <c r="AO54" s="15">
        <v>1689.6880934305213</v>
      </c>
      <c r="AP54" s="15">
        <v>298.19569389352614</v>
      </c>
      <c r="AQ54" s="15">
        <v>23.055739776761712</v>
      </c>
      <c r="AR54" s="15">
        <v>0</v>
      </c>
      <c r="AS54" s="15">
        <v>0</v>
      </c>
      <c r="AT54" s="15">
        <v>275.13995411676444</v>
      </c>
      <c r="AU54" s="15">
        <v>806.20333416553683</v>
      </c>
      <c r="AV54" s="15">
        <v>81.594999999999999</v>
      </c>
      <c r="AW54" s="15">
        <v>81.594999999999999</v>
      </c>
      <c r="AX54" s="15">
        <v>0</v>
      </c>
      <c r="AY54" s="15">
        <v>0</v>
      </c>
      <c r="AZ54" s="15">
        <v>464.717096827712</v>
      </c>
      <c r="BA54" s="15">
        <v>82.718698010625403</v>
      </c>
      <c r="BB54" s="15">
        <v>159.16599950711941</v>
      </c>
      <c r="BC54" s="15">
        <v>222.83239930996714</v>
      </c>
      <c r="BD54" s="15">
        <v>0</v>
      </c>
      <c r="BE54" s="15">
        <v>259.8912373378248</v>
      </c>
      <c r="BF54" s="15">
        <v>90.634422582998198</v>
      </c>
      <c r="BG54" s="15">
        <v>1.583132976279912</v>
      </c>
      <c r="BH54" s="15">
        <v>167.67368177854667</v>
      </c>
      <c r="BI54" s="15">
        <v>0</v>
      </c>
      <c r="BJ54" s="15">
        <v>1104.3990280590629</v>
      </c>
      <c r="BK54" s="59">
        <v>1525.5950801820313</v>
      </c>
      <c r="BL54" s="59">
        <v>0.13920881949746328</v>
      </c>
      <c r="BM54" s="59">
        <v>0.12479459105403946</v>
      </c>
    </row>
    <row r="55" spans="1:65" s="60" customFormat="1" x14ac:dyDescent="0.35">
      <c r="A55" s="59" t="s">
        <v>10621</v>
      </c>
      <c r="B55" s="59" t="s">
        <v>10571</v>
      </c>
      <c r="C55" s="59" t="s">
        <v>10637</v>
      </c>
      <c r="D55" s="59" t="s">
        <v>10326</v>
      </c>
      <c r="E55" s="59" t="s">
        <v>10657</v>
      </c>
      <c r="F55" s="59">
        <v>73378</v>
      </c>
      <c r="G55" s="59">
        <v>0.89712768972223778</v>
      </c>
      <c r="H55" s="59">
        <v>200</v>
      </c>
      <c r="I55" s="59">
        <v>681.49867208714295</v>
      </c>
      <c r="J55" s="88">
        <v>1.4226194092175497</v>
      </c>
      <c r="K55" s="59">
        <v>30</v>
      </c>
      <c r="L55" s="59">
        <v>55.852699413841925</v>
      </c>
      <c r="M55" s="59">
        <v>12.970604400316054</v>
      </c>
      <c r="N55" s="59">
        <v>25.739401664939734</v>
      </c>
      <c r="O55" s="59">
        <v>18.81034839829945</v>
      </c>
      <c r="P55" s="59">
        <v>4.7373368764321588</v>
      </c>
      <c r="Q55" s="59">
        <v>2.1917163902081285</v>
      </c>
      <c r="R55" s="59">
        <v>2.1917163902081285</v>
      </c>
      <c r="S55" s="59">
        <v>0</v>
      </c>
      <c r="T55" s="59">
        <v>0</v>
      </c>
      <c r="U55" s="59">
        <v>16320.554457048042</v>
      </c>
      <c r="V55" s="59">
        <v>0</v>
      </c>
      <c r="W55" s="59">
        <v>0</v>
      </c>
      <c r="X55" s="59">
        <v>0</v>
      </c>
      <c r="Y55" s="59">
        <v>1213.4112104221485</v>
      </c>
      <c r="Z55" s="59">
        <v>0</v>
      </c>
      <c r="AA55" s="59">
        <v>596.15300000000002</v>
      </c>
      <c r="AB55" s="59">
        <v>0</v>
      </c>
      <c r="AC55" s="59">
        <v>617.25821042214864</v>
      </c>
      <c r="AD55" s="59">
        <v>531.91253833500559</v>
      </c>
      <c r="AE55" s="59">
        <v>10.009211653494058</v>
      </c>
      <c r="AF55" s="59">
        <v>0</v>
      </c>
      <c r="AG55" s="59">
        <v>0</v>
      </c>
      <c r="AH55" s="59">
        <v>398.90296845206899</v>
      </c>
      <c r="AI55" s="59">
        <v>123.00035822944253</v>
      </c>
      <c r="AJ55" s="59">
        <v>0</v>
      </c>
      <c r="AK55" s="59">
        <v>0</v>
      </c>
      <c r="AL55" s="59">
        <v>0</v>
      </c>
      <c r="AM55" s="59">
        <v>0</v>
      </c>
      <c r="AN55" s="59">
        <v>0.86173424565908274</v>
      </c>
      <c r="AO55" s="59">
        <v>681.49867208714295</v>
      </c>
      <c r="AP55" s="59">
        <v>408.91218010556304</v>
      </c>
      <c r="AQ55" s="59">
        <v>10.009211653494058</v>
      </c>
      <c r="AR55" s="59">
        <v>0</v>
      </c>
      <c r="AS55" s="59">
        <v>0</v>
      </c>
      <c r="AT55" s="59">
        <v>398.90296845206899</v>
      </c>
      <c r="AU55" s="59">
        <v>445.94673024873612</v>
      </c>
      <c r="AV55" s="59">
        <v>81.594999999999999</v>
      </c>
      <c r="AW55" s="59">
        <v>81.594999999999999</v>
      </c>
      <c r="AX55" s="59">
        <v>0</v>
      </c>
      <c r="AY55" s="59">
        <v>0</v>
      </c>
      <c r="AZ55" s="59">
        <v>248.12748545234274</v>
      </c>
      <c r="BA55" s="59">
        <v>82.718698010625403</v>
      </c>
      <c r="BB55" s="59">
        <v>68.920328100715565</v>
      </c>
      <c r="BC55" s="59">
        <v>96.488459341001786</v>
      </c>
      <c r="BD55" s="59">
        <v>0</v>
      </c>
      <c r="BE55" s="59">
        <v>116.22424479639335</v>
      </c>
      <c r="BF55" s="59">
        <v>40.224951515829275</v>
      </c>
      <c r="BG55" s="59">
        <v>1.583132976279912</v>
      </c>
      <c r="BH55" s="59">
        <v>74.416160304284162</v>
      </c>
      <c r="BI55" s="59">
        <v>0</v>
      </c>
      <c r="BJ55" s="59">
        <v>854.85891035429916</v>
      </c>
      <c r="BK55" s="59">
        <v>1386.7714486893046</v>
      </c>
      <c r="BL55" s="59">
        <v>1.570676941832976</v>
      </c>
      <c r="BM55" s="59">
        <v>1.4226194092175497</v>
      </c>
    </row>
    <row r="56" spans="1:65" s="56" customFormat="1" x14ac:dyDescent="0.35">
      <c r="A56" s="55" t="s">
        <v>10621</v>
      </c>
      <c r="B56" s="55" t="s">
        <v>10639</v>
      </c>
      <c r="C56" s="55" t="s">
        <v>9780</v>
      </c>
      <c r="D56" s="55" t="s">
        <v>9780</v>
      </c>
      <c r="E56" s="55" t="s">
        <v>10658</v>
      </c>
      <c r="F56" s="55">
        <f>F55</f>
        <v>73378</v>
      </c>
      <c r="G56" s="55">
        <f>G55</f>
        <v>0.89712768972223778</v>
      </c>
      <c r="H56" s="55">
        <f>(H55*N55)/(N55)</f>
        <v>200</v>
      </c>
      <c r="I56" s="55">
        <f>(I55*N55)/(N55)</f>
        <v>681.49867208714284</v>
      </c>
      <c r="J56" s="89">
        <f>(J55*N55)/(N55)</f>
        <v>1.4226194092175497</v>
      </c>
      <c r="K56" s="55">
        <f t="shared" ref="K56:W56" si="5">K55</f>
        <v>30</v>
      </c>
      <c r="L56" s="55">
        <f t="shared" si="5"/>
        <v>55.852699413841925</v>
      </c>
      <c r="M56" s="55">
        <f t="shared" si="5"/>
        <v>12.970604400316054</v>
      </c>
      <c r="N56" s="55">
        <f t="shared" si="5"/>
        <v>25.739401664939734</v>
      </c>
      <c r="O56" s="55">
        <f t="shared" si="5"/>
        <v>18.81034839829945</v>
      </c>
      <c r="P56" s="55">
        <f t="shared" si="5"/>
        <v>4.7373368764321588</v>
      </c>
      <c r="Q56" s="55">
        <f t="shared" si="5"/>
        <v>2.1917163902081285</v>
      </c>
      <c r="R56" s="55">
        <f t="shared" si="5"/>
        <v>2.1917163902081285</v>
      </c>
      <c r="S56" s="55">
        <f t="shared" si="5"/>
        <v>0</v>
      </c>
      <c r="T56" s="55">
        <f t="shared" si="5"/>
        <v>0</v>
      </c>
      <c r="U56" s="55">
        <f t="shared" si="5"/>
        <v>16320.554457048042</v>
      </c>
      <c r="V56" s="55">
        <f t="shared" si="5"/>
        <v>0</v>
      </c>
      <c r="W56" s="55">
        <f t="shared" si="5"/>
        <v>0</v>
      </c>
      <c r="X56" s="55">
        <f>(X55*N55)/(N55)</f>
        <v>0</v>
      </c>
      <c r="Y56" s="55">
        <f>(Y55*N55)/(N55)</f>
        <v>1213.4112104221485</v>
      </c>
      <c r="Z56" s="55">
        <f>(Z55*N55)/(N55)</f>
        <v>0</v>
      </c>
      <c r="AA56" s="55">
        <f>(AA55*N55)/(N55)</f>
        <v>596.15300000000002</v>
      </c>
      <c r="AB56" s="55">
        <f>(AB55*N55)/(N55)</f>
        <v>0</v>
      </c>
      <c r="AC56" s="55">
        <f>(AC55*N55)/(N55)</f>
        <v>617.25821042214864</v>
      </c>
      <c r="AD56" s="55">
        <f>(AD55*N55)/(N55)</f>
        <v>531.91253833500559</v>
      </c>
      <c r="AE56" s="55">
        <f>(AE55*N55)/(N55)</f>
        <v>10.009211653494059</v>
      </c>
      <c r="AF56" s="55">
        <f>(AF55*N55)/(N55)</f>
        <v>0</v>
      </c>
      <c r="AG56" s="55">
        <f>(AG55*N55)/(N55)</f>
        <v>0</v>
      </c>
      <c r="AH56" s="55">
        <f>(AH55*N55)/(N55)</f>
        <v>398.90296845206899</v>
      </c>
      <c r="AI56" s="55">
        <f>(AI55*N55)/(N55)</f>
        <v>123.00035822944253</v>
      </c>
      <c r="AJ56" s="55">
        <f>(AJ55*N55)/(N55)</f>
        <v>0</v>
      </c>
      <c r="AK56" s="55">
        <f>(AK55*N55)/(N55)</f>
        <v>0</v>
      </c>
      <c r="AL56" s="55">
        <f>(AL55*N55)/(N55)</f>
        <v>0</v>
      </c>
      <c r="AM56" s="55">
        <f>(AM55*N55)/(N55)</f>
        <v>0</v>
      </c>
      <c r="AN56" s="55">
        <f>(AN55*N55)/(N55)</f>
        <v>0.86173424565908274</v>
      </c>
      <c r="AO56" s="55">
        <f>(AO55*N55)/(N55)</f>
        <v>681.49867208714284</v>
      </c>
      <c r="AP56" s="55">
        <f>(AP55*N55)/(N55)</f>
        <v>408.9121801055631</v>
      </c>
      <c r="AQ56" s="55">
        <f>(AQ55*N55)/(N55)</f>
        <v>10.009211653494059</v>
      </c>
      <c r="AR56" s="55">
        <f>(AR55*N55)/(N55)</f>
        <v>0</v>
      </c>
      <c r="AS56" s="55">
        <f>(AS55*N55)/(N55)</f>
        <v>0</v>
      </c>
      <c r="AT56" s="55">
        <f>(AT55*N55)/(N55)</f>
        <v>398.90296845206899</v>
      </c>
      <c r="AU56" s="55">
        <f>(AU55*N55)/(N55)</f>
        <v>445.94673024873606</v>
      </c>
      <c r="AV56" s="55">
        <f>(AV55*N55)/(N55)</f>
        <v>81.594999999999999</v>
      </c>
      <c r="AW56" s="55">
        <f>(AW55*N55)/(N55)</f>
        <v>81.594999999999999</v>
      </c>
      <c r="AX56" s="55">
        <f>(AX55*N55)/(N55)</f>
        <v>0</v>
      </c>
      <c r="AY56" s="55">
        <f>(AY55*N55)/(N55)</f>
        <v>0</v>
      </c>
      <c r="AZ56" s="55">
        <f>(AZ55*N55)/(N55)</f>
        <v>248.12748545234274</v>
      </c>
      <c r="BA56" s="55">
        <f>(BA55*N55)/(N55)</f>
        <v>82.718698010625403</v>
      </c>
      <c r="BB56" s="55">
        <f>(BB55*N55)/(N55)</f>
        <v>68.920328100715565</v>
      </c>
      <c r="BC56" s="55">
        <f>(BC55*N55)/(N55)</f>
        <v>96.488459341001786</v>
      </c>
      <c r="BD56" s="55">
        <f>(BD55*N55)/(N55)</f>
        <v>0</v>
      </c>
      <c r="BE56" s="55">
        <f>(BE55*N55)/(N55)</f>
        <v>116.22424479639334</v>
      </c>
      <c r="BF56" s="55">
        <f>(BF55*N55)/(N55)</f>
        <v>40.224951515829275</v>
      </c>
      <c r="BG56" s="55">
        <f>(BG55*N55)/(N55)</f>
        <v>1.583132976279912</v>
      </c>
      <c r="BH56" s="55">
        <f>(BH55*N55)/(N55)</f>
        <v>74.416160304284162</v>
      </c>
      <c r="BI56" s="55">
        <f>(BI55*N55)/(N55)</f>
        <v>0</v>
      </c>
      <c r="BJ56" s="55">
        <f>(BJ55*N55)/(N55)</f>
        <v>854.85891035429904</v>
      </c>
      <c r="BK56" s="55">
        <f>(BK55*N55)/(N55)</f>
        <v>1386.7714486893044</v>
      </c>
      <c r="BL56" s="55">
        <f>(BL55*N55)/(N55)</f>
        <v>1.570676941832976</v>
      </c>
      <c r="BM56" s="55">
        <f>(BM55*N55)/(N55)</f>
        <v>1.4226194092175497</v>
      </c>
    </row>
    <row r="57" spans="1:65" x14ac:dyDescent="0.35">
      <c r="A57" s="15" t="s">
        <v>10601</v>
      </c>
      <c r="B57" s="15" t="s">
        <v>10457</v>
      </c>
      <c r="C57" s="15" t="s">
        <v>10573</v>
      </c>
      <c r="D57" s="15" t="s">
        <v>10321</v>
      </c>
      <c r="E57" s="15" t="s">
        <v>10659</v>
      </c>
      <c r="F57" s="15">
        <v>18919</v>
      </c>
      <c r="G57" s="15">
        <v>0.89712986944341666</v>
      </c>
      <c r="H57" s="15">
        <v>200</v>
      </c>
      <c r="I57" s="80">
        <v>568.87698289729406</v>
      </c>
      <c r="J57" s="79">
        <v>1.0868593523570169</v>
      </c>
      <c r="K57" s="15">
        <v>30</v>
      </c>
      <c r="L57" s="15">
        <v>39.528246974342871</v>
      </c>
      <c r="M57" s="15">
        <v>8.6683235982771087</v>
      </c>
      <c r="N57" s="15">
        <v>6.6363886077370218</v>
      </c>
      <c r="O57" s="15">
        <v>1.2369863363448381</v>
      </c>
      <c r="P57" s="15">
        <v>2.5695516005154566</v>
      </c>
      <c r="Q57" s="15">
        <v>2.8298506708767253</v>
      </c>
      <c r="R57" s="15">
        <v>0.52925199146702739</v>
      </c>
      <c r="S57" s="15">
        <v>1.109035104890516</v>
      </c>
      <c r="T57" s="15">
        <v>1.1915635745191826</v>
      </c>
      <c r="U57" s="15">
        <v>0</v>
      </c>
      <c r="V57" s="15">
        <v>805.8938324137099</v>
      </c>
      <c r="W57" s="15">
        <v>0</v>
      </c>
      <c r="X57" s="15">
        <v>0</v>
      </c>
      <c r="Y57" s="15">
        <v>711.1370855944532</v>
      </c>
      <c r="Z57" s="15">
        <v>0</v>
      </c>
      <c r="AA57" s="15">
        <v>422.23899999999998</v>
      </c>
      <c r="AB57" s="15">
        <v>0</v>
      </c>
      <c r="AC57" s="15">
        <v>288.89808559445322</v>
      </c>
      <c r="AD57" s="15">
        <v>142.26010269715914</v>
      </c>
      <c r="AE57" s="15">
        <v>0.54994788619329271</v>
      </c>
      <c r="AF57" s="15">
        <v>0</v>
      </c>
      <c r="AG57" s="15">
        <v>0</v>
      </c>
      <c r="AH57" s="15">
        <v>40.249386060965911</v>
      </c>
      <c r="AI57" s="15">
        <v>101.46076874999999</v>
      </c>
      <c r="AJ57" s="15">
        <v>-1.468144660174908E-15</v>
      </c>
      <c r="AK57" s="15">
        <v>0</v>
      </c>
      <c r="AL57" s="15">
        <v>0</v>
      </c>
      <c r="AM57" s="15">
        <v>0</v>
      </c>
      <c r="AN57" s="15">
        <v>0.49242314086102928</v>
      </c>
      <c r="AO57" s="15">
        <v>568.87698289729406</v>
      </c>
      <c r="AP57" s="15">
        <v>40.799333947159205</v>
      </c>
      <c r="AQ57" s="15">
        <v>0.54994788619329271</v>
      </c>
      <c r="AR57" s="15">
        <v>0</v>
      </c>
      <c r="AS57" s="15">
        <v>0</v>
      </c>
      <c r="AT57" s="15">
        <v>40.249386060965911</v>
      </c>
      <c r="AU57" s="15">
        <v>524.1279181527018</v>
      </c>
      <c r="AV57" s="15">
        <v>125.8448511889483</v>
      </c>
      <c r="AW57" s="15">
        <v>125.8448511889483</v>
      </c>
      <c r="AX57" s="15">
        <v>0</v>
      </c>
      <c r="AY57" s="15">
        <v>0</v>
      </c>
      <c r="AZ57" s="15">
        <v>232.76638106271054</v>
      </c>
      <c r="BA57" s="15">
        <v>76.930878417473096</v>
      </c>
      <c r="BB57" s="15">
        <v>64.931459435515606</v>
      </c>
      <c r="BC57" s="15">
        <v>90.904043209721834</v>
      </c>
      <c r="BD57" s="15">
        <v>0</v>
      </c>
      <c r="BE57" s="15">
        <v>165.51668590104299</v>
      </c>
      <c r="BF57" s="15">
        <v>57.559412137409709</v>
      </c>
      <c r="BG57" s="15">
        <v>1.4723613094253223</v>
      </c>
      <c r="BH57" s="15">
        <v>106.48491245420796</v>
      </c>
      <c r="BI57" s="15">
        <v>0</v>
      </c>
      <c r="BJ57" s="15">
        <v>564.92725209986099</v>
      </c>
      <c r="BK57" s="15">
        <v>707.18735479702013</v>
      </c>
      <c r="BL57" s="15">
        <v>2.1401639541166895</v>
      </c>
      <c r="BM57" s="15">
        <v>1.0868593523570169</v>
      </c>
    </row>
    <row r="58" spans="1:65" x14ac:dyDescent="0.35">
      <c r="A58" s="15" t="s">
        <v>10601</v>
      </c>
      <c r="B58" s="15" t="s">
        <v>10457</v>
      </c>
      <c r="C58" s="15" t="s">
        <v>10573</v>
      </c>
      <c r="D58" s="15" t="s">
        <v>10322</v>
      </c>
      <c r="E58" s="15" t="s">
        <v>10660</v>
      </c>
      <c r="F58" s="15">
        <v>18919</v>
      </c>
      <c r="G58" s="15">
        <v>0.89712986944341666</v>
      </c>
      <c r="H58" s="15">
        <v>200</v>
      </c>
      <c r="I58" s="80">
        <v>1629.7384439616599</v>
      </c>
      <c r="J58" s="81">
        <v>-0.20901050700789095</v>
      </c>
      <c r="K58" s="15">
        <v>30</v>
      </c>
      <c r="L58" s="15">
        <v>39.528246974342871</v>
      </c>
      <c r="M58" s="15">
        <v>8.6683235982771087</v>
      </c>
      <c r="N58" s="15">
        <v>6.6363886077370218</v>
      </c>
      <c r="O58" s="15">
        <v>1.2369863363448381</v>
      </c>
      <c r="P58" s="15">
        <v>2.5695516005154566</v>
      </c>
      <c r="Q58" s="15">
        <v>2.8298506708767253</v>
      </c>
      <c r="R58" s="15">
        <v>0.52925199146702739</v>
      </c>
      <c r="S58" s="15">
        <v>1.109035104890516</v>
      </c>
      <c r="T58" s="15">
        <v>1.1915635745191826</v>
      </c>
      <c r="U58" s="15">
        <v>0</v>
      </c>
      <c r="V58" s="15">
        <v>0</v>
      </c>
      <c r="W58" s="15">
        <v>201.47345810342748</v>
      </c>
      <c r="X58" s="15">
        <v>0</v>
      </c>
      <c r="Y58" s="15">
        <v>711.1370855944532</v>
      </c>
      <c r="Z58" s="15">
        <v>0</v>
      </c>
      <c r="AA58" s="15">
        <v>422.23899999999998</v>
      </c>
      <c r="AB58" s="15">
        <v>0</v>
      </c>
      <c r="AC58" s="15">
        <v>288.89808559445322</v>
      </c>
      <c r="AD58" s="15">
        <v>-918.60135836720667</v>
      </c>
      <c r="AE58" s="15">
        <v>-0.62490944247001956</v>
      </c>
      <c r="AF58" s="15">
        <v>91.383214144028386</v>
      </c>
      <c r="AG58" s="15">
        <v>-1051.6366363423308</v>
      </c>
      <c r="AH58" s="15">
        <v>0</v>
      </c>
      <c r="AI58" s="15">
        <v>101.46076874999999</v>
      </c>
      <c r="AJ58" s="15">
        <v>0</v>
      </c>
      <c r="AK58" s="15">
        <v>-59.183795476434078</v>
      </c>
      <c r="AL58" s="15">
        <v>0</v>
      </c>
      <c r="AM58" s="15">
        <v>0</v>
      </c>
      <c r="AN58" s="15">
        <v>-3.1796727087237011</v>
      </c>
      <c r="AO58" s="15">
        <v>1629.7384439616599</v>
      </c>
      <c r="AP58" s="15">
        <v>0</v>
      </c>
      <c r="AQ58" s="15">
        <v>0</v>
      </c>
      <c r="AR58" s="15">
        <v>0</v>
      </c>
      <c r="AS58" s="15">
        <v>0</v>
      </c>
      <c r="AT58" s="15">
        <v>0</v>
      </c>
      <c r="AU58" s="15">
        <v>666.8669854989821</v>
      </c>
      <c r="AV58" s="15">
        <v>125.8448511889483</v>
      </c>
      <c r="AW58" s="15">
        <v>125.8448511889483</v>
      </c>
      <c r="AX58" s="15">
        <v>0</v>
      </c>
      <c r="AY58" s="15">
        <v>0</v>
      </c>
      <c r="AZ58" s="15">
        <v>232.76638106271054</v>
      </c>
      <c r="BA58" s="15">
        <v>76.930878417473096</v>
      </c>
      <c r="BB58" s="15">
        <v>64.931459435515606</v>
      </c>
      <c r="BC58" s="15">
        <v>90.904043209721834</v>
      </c>
      <c r="BD58" s="15">
        <v>0</v>
      </c>
      <c r="BE58" s="15">
        <v>308.2557532473233</v>
      </c>
      <c r="BF58" s="15">
        <v>107.64329541680632</v>
      </c>
      <c r="BG58" s="15">
        <v>1.4723613094253223</v>
      </c>
      <c r="BH58" s="15">
        <v>199.14009652109166</v>
      </c>
      <c r="BI58" s="15">
        <v>0</v>
      </c>
      <c r="BJ58" s="15">
        <v>666.8669854989821</v>
      </c>
      <c r="BK58" s="15">
        <v>-251.73437286822457</v>
      </c>
      <c r="BL58" s="15">
        <v>-1.1790748206647785</v>
      </c>
      <c r="BM58" s="15">
        <v>-0.20901050700789095</v>
      </c>
    </row>
    <row r="59" spans="1:65" x14ac:dyDescent="0.35">
      <c r="A59" s="15" t="s">
        <v>10601</v>
      </c>
      <c r="B59" s="15" t="s">
        <v>10457</v>
      </c>
      <c r="C59" s="15" t="s">
        <v>10573</v>
      </c>
      <c r="D59" s="15" t="s">
        <v>10323</v>
      </c>
      <c r="E59" s="15" t="s">
        <v>10661</v>
      </c>
      <c r="F59" s="15">
        <v>18919</v>
      </c>
      <c r="G59" s="15">
        <v>0.89712986944341666</v>
      </c>
      <c r="H59" s="15">
        <v>200</v>
      </c>
      <c r="I59" s="80">
        <v>632.14754308619933</v>
      </c>
      <c r="J59" s="79">
        <v>0.82278628690106448</v>
      </c>
      <c r="K59" s="15">
        <v>30</v>
      </c>
      <c r="L59" s="15">
        <v>39.528246974342871</v>
      </c>
      <c r="M59" s="15">
        <v>8.6683235982771087</v>
      </c>
      <c r="N59" s="15">
        <v>6.6363886077370218</v>
      </c>
      <c r="O59" s="15">
        <v>1.2369863363448381</v>
      </c>
      <c r="P59" s="15">
        <v>2.5695516005154566</v>
      </c>
      <c r="Q59" s="15">
        <v>2.8298506708767253</v>
      </c>
      <c r="R59" s="15">
        <v>0.52925199146702739</v>
      </c>
      <c r="S59" s="15">
        <v>1.109035104890516</v>
      </c>
      <c r="T59" s="15">
        <v>1.1915635745191826</v>
      </c>
      <c r="U59" s="15">
        <v>0</v>
      </c>
      <c r="V59" s="15">
        <v>0</v>
      </c>
      <c r="W59" s="15">
        <v>0</v>
      </c>
      <c r="X59" s="15">
        <v>201473.45810342749</v>
      </c>
      <c r="Y59" s="15">
        <v>711.1370855944532</v>
      </c>
      <c r="Z59" s="15">
        <v>0</v>
      </c>
      <c r="AA59" s="15">
        <v>422.23899999999998</v>
      </c>
      <c r="AB59" s="15">
        <v>0</v>
      </c>
      <c r="AC59" s="15">
        <v>288.89808559445322</v>
      </c>
      <c r="AD59" s="15">
        <v>78.989542508253862</v>
      </c>
      <c r="AE59" s="15">
        <v>-0.62490944247001956</v>
      </c>
      <c r="AF59" s="15">
        <v>0</v>
      </c>
      <c r="AG59" s="15">
        <v>0</v>
      </c>
      <c r="AH59" s="15">
        <v>0</v>
      </c>
      <c r="AI59" s="15">
        <v>101.46076874999999</v>
      </c>
      <c r="AJ59" s="15">
        <v>0</v>
      </c>
      <c r="AK59" s="15">
        <v>-21.846316799276114</v>
      </c>
      <c r="AL59" s="15">
        <v>0</v>
      </c>
      <c r="AM59" s="15">
        <v>0</v>
      </c>
      <c r="AN59" s="15">
        <v>0.27341663530140903</v>
      </c>
      <c r="AO59" s="15">
        <v>632.14754308619933</v>
      </c>
      <c r="AP59" s="15">
        <v>0</v>
      </c>
      <c r="AQ59" s="15">
        <v>0</v>
      </c>
      <c r="AR59" s="15">
        <v>0</v>
      </c>
      <c r="AS59" s="15">
        <v>0</v>
      </c>
      <c r="AT59" s="15">
        <v>0</v>
      </c>
      <c r="AU59" s="15">
        <v>530.03087283572404</v>
      </c>
      <c r="AV59" s="15">
        <v>125.8448511889483</v>
      </c>
      <c r="AW59" s="15">
        <v>125.8448511889483</v>
      </c>
      <c r="AX59" s="15">
        <v>0</v>
      </c>
      <c r="AY59" s="15">
        <v>0</v>
      </c>
      <c r="AZ59" s="15">
        <v>232.76638106271054</v>
      </c>
      <c r="BA59" s="15">
        <v>76.930878417473096</v>
      </c>
      <c r="BB59" s="15">
        <v>64.931459435515606</v>
      </c>
      <c r="BC59" s="15">
        <v>90.904043209721834</v>
      </c>
      <c r="BD59" s="15">
        <v>0</v>
      </c>
      <c r="BE59" s="15">
        <v>171.41964058406518</v>
      </c>
      <c r="BF59" s="15">
        <v>59.630624306891178</v>
      </c>
      <c r="BG59" s="15">
        <v>1.4723613094253223</v>
      </c>
      <c r="BH59" s="15">
        <v>110.31665496774866</v>
      </c>
      <c r="BI59" s="15">
        <v>0</v>
      </c>
      <c r="BJ59" s="15">
        <v>530.03087283572404</v>
      </c>
      <c r="BK59" s="15">
        <v>609.0204153439779</v>
      </c>
      <c r="BL59" s="15">
        <v>1.8003661349271012</v>
      </c>
      <c r="BM59" s="15">
        <v>0.82278628690106448</v>
      </c>
    </row>
    <row r="60" spans="1:65" x14ac:dyDescent="0.35">
      <c r="A60" s="15" t="s">
        <v>10601</v>
      </c>
      <c r="B60" s="15" t="s">
        <v>10457</v>
      </c>
      <c r="C60" s="15" t="s">
        <v>10573</v>
      </c>
      <c r="D60" s="15" t="s">
        <v>10324</v>
      </c>
      <c r="E60" s="15" t="s">
        <v>10662</v>
      </c>
      <c r="F60" s="15">
        <v>18919</v>
      </c>
      <c r="G60" s="15">
        <v>0.89712986944341666</v>
      </c>
      <c r="H60" s="15">
        <v>200</v>
      </c>
      <c r="I60" s="80">
        <v>576.97405049950839</v>
      </c>
      <c r="J60" s="79">
        <v>0.99090554501394612</v>
      </c>
      <c r="K60" s="15">
        <v>30</v>
      </c>
      <c r="L60" s="15">
        <v>39.724186967451779</v>
      </c>
      <c r="M60" s="15">
        <v>8.7101526363602897</v>
      </c>
      <c r="N60" s="15">
        <v>6.6363886077370218</v>
      </c>
      <c r="O60" s="15">
        <v>0.93254532715920602</v>
      </c>
      <c r="P60" s="15">
        <v>2.6782805323674688</v>
      </c>
      <c r="Q60" s="15">
        <v>3.0255627482103469</v>
      </c>
      <c r="R60" s="15">
        <v>0.52925199146702739</v>
      </c>
      <c r="S60" s="15">
        <v>1.3047471822241368</v>
      </c>
      <c r="T60" s="15">
        <v>1.1915635745191826</v>
      </c>
      <c r="U60" s="15">
        <v>0</v>
      </c>
      <c r="V60" s="15">
        <v>0</v>
      </c>
      <c r="W60" s="15">
        <v>0</v>
      </c>
      <c r="X60" s="15">
        <v>0</v>
      </c>
      <c r="Y60" s="15">
        <v>677.64115083995421</v>
      </c>
      <c r="Z60" s="15">
        <v>0</v>
      </c>
      <c r="AA60" s="15">
        <v>422.23899999999998</v>
      </c>
      <c r="AB60" s="15">
        <v>0</v>
      </c>
      <c r="AC60" s="15">
        <v>255.40215083995423</v>
      </c>
      <c r="AD60" s="15">
        <v>100.66710034044581</v>
      </c>
      <c r="AE60" s="15">
        <v>-0.79366840955416917</v>
      </c>
      <c r="AF60" s="15">
        <v>0</v>
      </c>
      <c r="AG60" s="15">
        <v>0</v>
      </c>
      <c r="AH60" s="15">
        <v>0</v>
      </c>
      <c r="AI60" s="15">
        <v>101.46076874999999</v>
      </c>
      <c r="AJ60" s="15">
        <v>0</v>
      </c>
      <c r="AK60" s="15">
        <v>0</v>
      </c>
      <c r="AL60" s="15">
        <v>0</v>
      </c>
      <c r="AM60" s="15">
        <v>0</v>
      </c>
      <c r="AN60" s="15">
        <v>0.39415134136254032</v>
      </c>
      <c r="AO60" s="15">
        <v>576.97405049950839</v>
      </c>
      <c r="AP60" s="15">
        <v>0</v>
      </c>
      <c r="AQ60" s="15">
        <v>0</v>
      </c>
      <c r="AR60" s="15">
        <v>0</v>
      </c>
      <c r="AS60" s="15">
        <v>0</v>
      </c>
      <c r="AT60" s="15">
        <v>0</v>
      </c>
      <c r="AU60" s="15">
        <v>526.46183646862789</v>
      </c>
      <c r="AV60" s="15">
        <v>122.10317272649331</v>
      </c>
      <c r="AW60" s="15">
        <v>122.10317272649331</v>
      </c>
      <c r="AX60" s="15">
        <v>0</v>
      </c>
      <c r="AY60" s="15">
        <v>0</v>
      </c>
      <c r="AZ60" s="15">
        <v>237.9002689864036</v>
      </c>
      <c r="BA60" s="15">
        <v>76.930878417473096</v>
      </c>
      <c r="BB60" s="15">
        <v>67.070579403721055</v>
      </c>
      <c r="BC60" s="15">
        <v>93.898811165209466</v>
      </c>
      <c r="BD60" s="15">
        <v>0</v>
      </c>
      <c r="BE60" s="15">
        <v>166.45839475573101</v>
      </c>
      <c r="BF60" s="15">
        <v>57.889836296949369</v>
      </c>
      <c r="BG60" s="15">
        <v>1.4723613094253223</v>
      </c>
      <c r="BH60" s="15">
        <v>107.09619714935631</v>
      </c>
      <c r="BI60" s="15">
        <v>0</v>
      </c>
      <c r="BJ60" s="15">
        <v>526.46183646862789</v>
      </c>
      <c r="BK60" s="15">
        <v>627.12893680907371</v>
      </c>
      <c r="BL60" s="15">
        <v>2.2385355177662052</v>
      </c>
      <c r="BM60" s="15">
        <v>0.99090554501394612</v>
      </c>
    </row>
    <row r="61" spans="1:65" x14ac:dyDescent="0.35">
      <c r="A61" s="15" t="s">
        <v>10601</v>
      </c>
      <c r="B61" s="15" t="s">
        <v>10457</v>
      </c>
      <c r="C61" s="15" t="s">
        <v>10573</v>
      </c>
      <c r="D61" s="15" t="s">
        <v>10325</v>
      </c>
      <c r="E61" s="15" t="s">
        <v>10663</v>
      </c>
      <c r="F61" s="15">
        <v>18919</v>
      </c>
      <c r="G61" s="15">
        <v>0.89712986944341666</v>
      </c>
      <c r="H61" s="15">
        <v>200</v>
      </c>
      <c r="I61" s="80">
        <v>639.63185852861352</v>
      </c>
      <c r="J61" s="79">
        <v>0.75572568681064511</v>
      </c>
      <c r="K61" s="15">
        <v>30</v>
      </c>
      <c r="L61" s="15">
        <v>38.415577156879181</v>
      </c>
      <c r="M61" s="15">
        <v>8.0921374064707994</v>
      </c>
      <c r="N61" s="15">
        <v>6.6363886077370218</v>
      </c>
      <c r="O61" s="15">
        <v>1.4871980960223472</v>
      </c>
      <c r="P61" s="15">
        <v>2.3215414627585647</v>
      </c>
      <c r="Q61" s="15">
        <v>2.8276490489561095</v>
      </c>
      <c r="R61" s="15">
        <v>0.52925199146702739</v>
      </c>
      <c r="S61" s="15">
        <v>0</v>
      </c>
      <c r="T61" s="15">
        <v>2.2983970574890824</v>
      </c>
      <c r="U61" s="15">
        <v>0</v>
      </c>
      <c r="V61" s="15">
        <v>0</v>
      </c>
      <c r="W61" s="15">
        <v>0</v>
      </c>
      <c r="X61" s="15">
        <v>0</v>
      </c>
      <c r="Y61" s="15">
        <v>741.09262727861346</v>
      </c>
      <c r="Z61" s="15">
        <v>0</v>
      </c>
      <c r="AA61" s="15">
        <v>422.23899999999998</v>
      </c>
      <c r="AB61" s="15">
        <v>0</v>
      </c>
      <c r="AC61" s="15">
        <v>318.85362727861343</v>
      </c>
      <c r="AD61" s="15">
        <v>101.46076874999994</v>
      </c>
      <c r="AE61" s="15">
        <v>0</v>
      </c>
      <c r="AF61" s="15">
        <v>0</v>
      </c>
      <c r="AG61" s="15">
        <v>0</v>
      </c>
      <c r="AH61" s="15">
        <v>0</v>
      </c>
      <c r="AI61" s="15">
        <v>101.46076874999999</v>
      </c>
      <c r="AJ61" s="15">
        <v>0</v>
      </c>
      <c r="AK61" s="15">
        <v>0</v>
      </c>
      <c r="AL61" s="15">
        <v>0</v>
      </c>
      <c r="AM61" s="15">
        <v>0</v>
      </c>
      <c r="AN61" s="15">
        <v>0.31820484407205379</v>
      </c>
      <c r="AO61" s="15">
        <v>639.63185852861352</v>
      </c>
      <c r="AP61" s="15">
        <v>0</v>
      </c>
      <c r="AQ61" s="15">
        <v>0</v>
      </c>
      <c r="AR61" s="15">
        <v>0</v>
      </c>
      <c r="AS61" s="15">
        <v>0</v>
      </c>
      <c r="AT61" s="15">
        <v>0</v>
      </c>
      <c r="AU61" s="15">
        <v>500.77908412111935</v>
      </c>
      <c r="AV61" s="15">
        <v>134.47456183061067</v>
      </c>
      <c r="AW61" s="15">
        <v>134.47456183061067</v>
      </c>
      <c r="AX61" s="15">
        <v>0</v>
      </c>
      <c r="AY61" s="15">
        <v>0</v>
      </c>
      <c r="AZ61" s="15">
        <v>190.21242442342691</v>
      </c>
      <c r="BA61" s="15">
        <v>76.930878417473096</v>
      </c>
      <c r="BB61" s="15">
        <v>47.200644169147424</v>
      </c>
      <c r="BC61" s="15">
        <v>66.08090183680639</v>
      </c>
      <c r="BD61" s="15">
        <v>0</v>
      </c>
      <c r="BE61" s="15">
        <v>176.09209786708172</v>
      </c>
      <c r="BF61" s="15">
        <v>61.270083002686455</v>
      </c>
      <c r="BG61" s="15">
        <v>1.4723613094253223</v>
      </c>
      <c r="BH61" s="15">
        <v>113.34965355496993</v>
      </c>
      <c r="BI61" s="15">
        <v>0</v>
      </c>
      <c r="BJ61" s="15">
        <v>500.77908412111935</v>
      </c>
      <c r="BK61" s="15">
        <v>602.2398528711193</v>
      </c>
      <c r="BL61" s="15">
        <v>1.516012942108149</v>
      </c>
      <c r="BM61" s="15">
        <v>0.75572568681064511</v>
      </c>
    </row>
    <row r="62" spans="1:65" s="60" customFormat="1" x14ac:dyDescent="0.35">
      <c r="A62" s="15" t="s">
        <v>10601</v>
      </c>
      <c r="B62" s="15" t="s">
        <v>10457</v>
      </c>
      <c r="C62" s="15" t="s">
        <v>10573</v>
      </c>
      <c r="D62" s="15" t="s">
        <v>10326</v>
      </c>
      <c r="E62" s="15" t="s">
        <v>10664</v>
      </c>
      <c r="F62" s="15">
        <v>18919</v>
      </c>
      <c r="G62" s="15">
        <v>0.89712986944341666</v>
      </c>
      <c r="H62" s="15">
        <v>200</v>
      </c>
      <c r="I62" s="80">
        <v>545.09735380949303</v>
      </c>
      <c r="J62" s="79">
        <v>1.7899696987308025</v>
      </c>
      <c r="K62" s="15">
        <v>30</v>
      </c>
      <c r="L62" s="15">
        <v>37.925031646979804</v>
      </c>
      <c r="M62" s="15">
        <v>8.0141726230779753</v>
      </c>
      <c r="N62" s="15">
        <v>6.6363886077370218</v>
      </c>
      <c r="O62" s="15">
        <v>4.8498711602949411</v>
      </c>
      <c r="P62" s="15">
        <v>1.2214273232539989</v>
      </c>
      <c r="Q62" s="15">
        <v>0.56509012418808247</v>
      </c>
      <c r="R62" s="15">
        <v>0.56509012418808247</v>
      </c>
      <c r="S62" s="15">
        <v>0</v>
      </c>
      <c r="T62" s="15">
        <v>0</v>
      </c>
      <c r="U62" s="15">
        <v>4207.927716448683</v>
      </c>
      <c r="V62" s="15">
        <v>0</v>
      </c>
      <c r="W62" s="15">
        <v>0</v>
      </c>
      <c r="X62" s="15">
        <v>0</v>
      </c>
      <c r="Y62" s="15">
        <v>1029.4879987686545</v>
      </c>
      <c r="Z62" s="15">
        <v>0</v>
      </c>
      <c r="AA62" s="15">
        <v>422.23899999999998</v>
      </c>
      <c r="AB62" s="15">
        <v>0</v>
      </c>
      <c r="AC62" s="15">
        <v>607.24899876865459</v>
      </c>
      <c r="AD62" s="15">
        <v>484.39064495916148</v>
      </c>
      <c r="AE62" s="15">
        <v>0</v>
      </c>
      <c r="AF62" s="15">
        <v>0</v>
      </c>
      <c r="AG62" s="15">
        <v>0</v>
      </c>
      <c r="AH62" s="15">
        <v>361.39028672971892</v>
      </c>
      <c r="AI62" s="15">
        <v>123.00035822944254</v>
      </c>
      <c r="AJ62" s="15">
        <v>0</v>
      </c>
      <c r="AK62" s="15">
        <v>0</v>
      </c>
      <c r="AL62" s="15">
        <v>0</v>
      </c>
      <c r="AM62" s="15">
        <v>0</v>
      </c>
      <c r="AN62" s="15">
        <v>0.79768043412402756</v>
      </c>
      <c r="AO62" s="15">
        <v>545.09735380949303</v>
      </c>
      <c r="AP62" s="15">
        <v>361.39028672971892</v>
      </c>
      <c r="AQ62" s="15">
        <v>0</v>
      </c>
      <c r="AR62" s="15">
        <v>0</v>
      </c>
      <c r="AS62" s="15">
        <v>0</v>
      </c>
      <c r="AT62" s="15">
        <v>361.39028672971892</v>
      </c>
      <c r="AU62" s="15">
        <v>537.17581325711024</v>
      </c>
      <c r="AV62" s="15">
        <v>174.47385567193638</v>
      </c>
      <c r="AW62" s="15">
        <v>174.47385567193638</v>
      </c>
      <c r="AX62" s="15">
        <v>0</v>
      </c>
      <c r="AY62" s="15">
        <v>0</v>
      </c>
      <c r="AZ62" s="15">
        <v>194.55190351062373</v>
      </c>
      <c r="BA62" s="15">
        <v>82.718698010625459</v>
      </c>
      <c r="BB62" s="15">
        <v>46.59716895833261</v>
      </c>
      <c r="BC62" s="15">
        <v>65.236036541665655</v>
      </c>
      <c r="BD62" s="15">
        <v>0</v>
      </c>
      <c r="BE62" s="15">
        <v>168.1500540745501</v>
      </c>
      <c r="BF62" s="15">
        <v>58.444533718691289</v>
      </c>
      <c r="BG62" s="15">
        <v>1.5831329762799129</v>
      </c>
      <c r="BH62" s="15">
        <v>108.12238737957888</v>
      </c>
      <c r="BI62" s="15">
        <v>0</v>
      </c>
      <c r="BJ62" s="15">
        <v>898.56609998682916</v>
      </c>
      <c r="BK62" s="59">
        <v>1382.9567449459905</v>
      </c>
      <c r="BL62" s="59">
        <v>1.6067671550810645</v>
      </c>
      <c r="BM62" s="59">
        <v>1.7899696987308025</v>
      </c>
    </row>
    <row r="63" spans="1:65" s="56" customFormat="1" x14ac:dyDescent="0.35">
      <c r="A63" s="15" t="s">
        <v>10601</v>
      </c>
      <c r="B63" s="15" t="s">
        <v>10457</v>
      </c>
      <c r="C63" s="15" t="s">
        <v>10573</v>
      </c>
      <c r="D63" s="15" t="s">
        <v>10327</v>
      </c>
      <c r="E63" s="15" t="s">
        <v>10665</v>
      </c>
      <c r="F63" s="15">
        <v>18919</v>
      </c>
      <c r="G63" s="15">
        <v>0.89712986944341666</v>
      </c>
      <c r="H63" s="15">
        <v>200</v>
      </c>
      <c r="I63" s="80">
        <v>4575.4622221518466</v>
      </c>
      <c r="J63" s="81">
        <v>-0.92858307850488842</v>
      </c>
      <c r="K63" s="15">
        <v>30</v>
      </c>
      <c r="L63" s="15">
        <v>60.906942170607969</v>
      </c>
      <c r="M63" s="15">
        <v>21.718349903516106</v>
      </c>
      <c r="N63" s="15">
        <v>6.6363886077370218</v>
      </c>
      <c r="O63" s="15">
        <v>4.8498711602949411</v>
      </c>
      <c r="P63" s="15">
        <v>1.2214273232539989</v>
      </c>
      <c r="Q63" s="15">
        <v>0.56509012418808247</v>
      </c>
      <c r="R63" s="15">
        <v>0.56509012418808247</v>
      </c>
      <c r="S63" s="15">
        <v>0</v>
      </c>
      <c r="T63" s="15">
        <v>0</v>
      </c>
      <c r="U63" s="15">
        <v>4207.927716448683</v>
      </c>
      <c r="V63" s="15">
        <v>0</v>
      </c>
      <c r="W63" s="15">
        <v>0</v>
      </c>
      <c r="X63" s="15">
        <v>0</v>
      </c>
      <c r="Y63" s="15">
        <v>1845.9507106864648</v>
      </c>
      <c r="Z63" s="15">
        <v>0</v>
      </c>
      <c r="AA63" s="15">
        <v>422.23899999999998</v>
      </c>
      <c r="AB63" s="15">
        <v>0</v>
      </c>
      <c r="AC63" s="15">
        <v>1423.7117106864648</v>
      </c>
      <c r="AD63" s="15">
        <v>-2729.5115114653818</v>
      </c>
      <c r="AE63" s="15">
        <v>-67.963695090263201</v>
      </c>
      <c r="AF63" s="15">
        <v>0</v>
      </c>
      <c r="AG63" s="15">
        <v>0</v>
      </c>
      <c r="AH63" s="15">
        <v>-2784.5481746045607</v>
      </c>
      <c r="AI63" s="15">
        <v>123.00035822944254</v>
      </c>
      <c r="AJ63" s="15">
        <v>0</v>
      </c>
      <c r="AK63" s="15">
        <v>0</v>
      </c>
      <c r="AL63" s="15">
        <v>0</v>
      </c>
      <c r="AM63" s="15">
        <v>0</v>
      </c>
      <c r="AN63" s="15">
        <v>-1.9171799255267101</v>
      </c>
      <c r="AO63" s="15">
        <v>4575.4622221518466</v>
      </c>
      <c r="AP63" s="15">
        <v>-2852.5118696948239</v>
      </c>
      <c r="AQ63" s="15">
        <v>-67.963695090263201</v>
      </c>
      <c r="AR63" s="15">
        <v>0</v>
      </c>
      <c r="AS63" s="15">
        <v>0</v>
      </c>
      <c r="AT63" s="15">
        <v>-2784.5481746045607</v>
      </c>
      <c r="AU63" s="15">
        <v>2557.0382960180909</v>
      </c>
      <c r="AV63" s="15">
        <v>174.47385567193638</v>
      </c>
      <c r="AW63" s="15">
        <v>174.47385567193638</v>
      </c>
      <c r="AX63" s="15">
        <v>0</v>
      </c>
      <c r="AY63" s="15">
        <v>0</v>
      </c>
      <c r="AZ63" s="15">
        <v>1640.087392532819</v>
      </c>
      <c r="BA63" s="15">
        <v>82.718698010625459</v>
      </c>
      <c r="BB63" s="15">
        <v>648.90362271758067</v>
      </c>
      <c r="BC63" s="15">
        <v>908.46507180461288</v>
      </c>
      <c r="BD63" s="15">
        <v>0</v>
      </c>
      <c r="BE63" s="15">
        <v>742.47704781333539</v>
      </c>
      <c r="BF63" s="15">
        <v>259.96277713580895</v>
      </c>
      <c r="BG63" s="15">
        <v>1.5831329762799129</v>
      </c>
      <c r="BH63" s="15">
        <v>480.93113770124654</v>
      </c>
      <c r="BI63" s="15">
        <v>0</v>
      </c>
      <c r="BJ63" s="15">
        <v>-295.47357367673294</v>
      </c>
      <c r="BK63" s="55">
        <v>-3024.9850851421147</v>
      </c>
      <c r="BL63" s="55">
        <v>-2.9842395507023007</v>
      </c>
      <c r="BM63" s="55">
        <v>-0.92858307850488842</v>
      </c>
    </row>
    <row r="64" spans="1:65" s="60" customFormat="1" x14ac:dyDescent="0.35">
      <c r="A64" s="59" t="s">
        <v>10601</v>
      </c>
      <c r="B64" s="59" t="s">
        <v>10457</v>
      </c>
      <c r="C64" s="59" t="s">
        <v>10666</v>
      </c>
      <c r="D64" s="59" t="s">
        <v>10326</v>
      </c>
      <c r="E64" s="59" t="s">
        <v>10667</v>
      </c>
      <c r="F64" s="59">
        <v>18919</v>
      </c>
      <c r="G64" s="59">
        <v>0.89712986944341666</v>
      </c>
      <c r="H64" s="59">
        <v>200</v>
      </c>
      <c r="I64" s="59">
        <v>545.09735380949303</v>
      </c>
      <c r="J64" s="88">
        <v>1.7899696987308025</v>
      </c>
      <c r="K64" s="59">
        <v>30</v>
      </c>
      <c r="L64" s="59">
        <v>37.925031646979804</v>
      </c>
      <c r="M64" s="59">
        <v>8.0141726230779753</v>
      </c>
      <c r="N64" s="59">
        <v>6.6363886077370218</v>
      </c>
      <c r="O64" s="59">
        <v>4.8498711602949411</v>
      </c>
      <c r="P64" s="59">
        <v>1.2214273232539989</v>
      </c>
      <c r="Q64" s="59">
        <v>0.56509012418808247</v>
      </c>
      <c r="R64" s="59">
        <v>0.56509012418808247</v>
      </c>
      <c r="S64" s="59">
        <v>0</v>
      </c>
      <c r="T64" s="59">
        <v>0</v>
      </c>
      <c r="U64" s="59">
        <v>4207.927716448683</v>
      </c>
      <c r="V64" s="59">
        <v>0</v>
      </c>
      <c r="W64" s="59">
        <v>0</v>
      </c>
      <c r="X64" s="59">
        <v>0</v>
      </c>
      <c r="Y64" s="59">
        <v>1029.4879987686545</v>
      </c>
      <c r="Z64" s="59">
        <v>0</v>
      </c>
      <c r="AA64" s="59">
        <v>422.23899999999998</v>
      </c>
      <c r="AB64" s="59">
        <v>0</v>
      </c>
      <c r="AC64" s="59">
        <v>607.24899876865459</v>
      </c>
      <c r="AD64" s="59">
        <v>484.39064495916148</v>
      </c>
      <c r="AE64" s="59">
        <v>0</v>
      </c>
      <c r="AF64" s="59">
        <v>0</v>
      </c>
      <c r="AG64" s="59">
        <v>0</v>
      </c>
      <c r="AH64" s="59">
        <v>361.39028672971892</v>
      </c>
      <c r="AI64" s="59">
        <v>123.00035822944254</v>
      </c>
      <c r="AJ64" s="59">
        <v>0</v>
      </c>
      <c r="AK64" s="59">
        <v>0</v>
      </c>
      <c r="AL64" s="59">
        <v>0</v>
      </c>
      <c r="AM64" s="59">
        <v>0</v>
      </c>
      <c r="AN64" s="59">
        <v>0.79768043412402756</v>
      </c>
      <c r="AO64" s="59">
        <v>545.09735380949303</v>
      </c>
      <c r="AP64" s="59">
        <v>361.39028672971892</v>
      </c>
      <c r="AQ64" s="59">
        <v>0</v>
      </c>
      <c r="AR64" s="59">
        <v>0</v>
      </c>
      <c r="AS64" s="59">
        <v>0</v>
      </c>
      <c r="AT64" s="59">
        <v>361.39028672971892</v>
      </c>
      <c r="AU64" s="59">
        <v>537.17581325711024</v>
      </c>
      <c r="AV64" s="59">
        <v>174.47385567193638</v>
      </c>
      <c r="AW64" s="59">
        <v>174.47385567193638</v>
      </c>
      <c r="AX64" s="59">
        <v>0</v>
      </c>
      <c r="AY64" s="59">
        <v>0</v>
      </c>
      <c r="AZ64" s="59">
        <v>194.55190351062373</v>
      </c>
      <c r="BA64" s="59">
        <v>82.718698010625459</v>
      </c>
      <c r="BB64" s="59">
        <v>46.59716895833261</v>
      </c>
      <c r="BC64" s="59">
        <v>65.236036541665655</v>
      </c>
      <c r="BD64" s="59">
        <v>0</v>
      </c>
      <c r="BE64" s="59">
        <v>168.1500540745501</v>
      </c>
      <c r="BF64" s="59">
        <v>58.444533718691289</v>
      </c>
      <c r="BG64" s="59">
        <v>1.5831329762799129</v>
      </c>
      <c r="BH64" s="59">
        <v>108.12238737957888</v>
      </c>
      <c r="BI64" s="59">
        <v>0</v>
      </c>
      <c r="BJ64" s="59">
        <v>898.56609998682916</v>
      </c>
      <c r="BK64" s="59">
        <v>1382.9567449459905</v>
      </c>
      <c r="BL64" s="59">
        <v>1.6067671550810645</v>
      </c>
      <c r="BM64" s="59">
        <v>1.7899696987308025</v>
      </c>
    </row>
    <row r="65" spans="1:65" x14ac:dyDescent="0.35">
      <c r="A65" s="15" t="s">
        <v>10601</v>
      </c>
      <c r="B65" s="15" t="s">
        <v>10457</v>
      </c>
      <c r="C65" s="15" t="s">
        <v>10574</v>
      </c>
      <c r="D65" s="15" t="s">
        <v>10321</v>
      </c>
      <c r="E65" s="15" t="s">
        <v>10668</v>
      </c>
      <c r="F65" s="15">
        <v>54459</v>
      </c>
      <c r="G65" s="15">
        <v>0.89712693248936548</v>
      </c>
      <c r="H65" s="15">
        <v>200</v>
      </c>
      <c r="I65" s="80">
        <v>749.05095212485787</v>
      </c>
      <c r="J65" s="79">
        <v>0.95057374211942769</v>
      </c>
      <c r="K65" s="15">
        <v>30</v>
      </c>
      <c r="L65" s="15">
        <v>87.470075188581319</v>
      </c>
      <c r="M65" s="15">
        <v>17.035361324752408</v>
      </c>
      <c r="N65" s="15">
        <v>19.103013057202716</v>
      </c>
      <c r="O65" s="15">
        <v>3.5606965672907718</v>
      </c>
      <c r="P65" s="15">
        <v>7.3965195043846421</v>
      </c>
      <c r="Q65" s="15">
        <v>8.1457969855273067</v>
      </c>
      <c r="R65" s="15">
        <v>1.5234652913119171</v>
      </c>
      <c r="S65" s="15">
        <v>3.1923856997946394</v>
      </c>
      <c r="T65" s="15">
        <v>3.4299459944207489</v>
      </c>
      <c r="U65" s="15">
        <v>0</v>
      </c>
      <c r="V65" s="15">
        <v>2319.7858524092462</v>
      </c>
      <c r="W65" s="15">
        <v>0</v>
      </c>
      <c r="X65" s="15">
        <v>0</v>
      </c>
      <c r="Y65" s="15">
        <v>890.68201355741712</v>
      </c>
      <c r="Z65" s="15">
        <v>0</v>
      </c>
      <c r="AA65" s="15">
        <v>537.04200000000003</v>
      </c>
      <c r="AB65" s="15">
        <v>53.439</v>
      </c>
      <c r="AC65" s="15">
        <v>300.20101355741713</v>
      </c>
      <c r="AD65" s="15">
        <v>141.63106143255925</v>
      </c>
      <c r="AE65" s="15">
        <v>10.497023283962301</v>
      </c>
      <c r="AF65" s="15">
        <v>0</v>
      </c>
      <c r="AG65" s="15">
        <v>0</v>
      </c>
      <c r="AH65" s="15">
        <v>29.673269398596961</v>
      </c>
      <c r="AI65" s="15">
        <v>101.46076874999999</v>
      </c>
      <c r="AJ65" s="15">
        <v>0</v>
      </c>
      <c r="AK65" s="15">
        <v>0</v>
      </c>
      <c r="AL65" s="15">
        <v>0</v>
      </c>
      <c r="AM65" s="15">
        <v>0</v>
      </c>
      <c r="AN65" s="15">
        <v>0.47178741921692602</v>
      </c>
      <c r="AO65" s="15">
        <v>749.05095212485787</v>
      </c>
      <c r="AP65" s="15">
        <v>40.170292682559264</v>
      </c>
      <c r="AQ65" s="15">
        <v>10.497023283962301</v>
      </c>
      <c r="AR65" s="15">
        <v>0</v>
      </c>
      <c r="AS65" s="15">
        <v>0</v>
      </c>
      <c r="AT65" s="15">
        <v>29.673269398596961</v>
      </c>
      <c r="AU65" s="15">
        <v>630.42782604174499</v>
      </c>
      <c r="AV65" s="15">
        <v>111.98516300818231</v>
      </c>
      <c r="AW65" s="15">
        <v>111.98516300818231</v>
      </c>
      <c r="AX65" s="15">
        <v>0</v>
      </c>
      <c r="AY65" s="15">
        <v>0</v>
      </c>
      <c r="AZ65" s="15">
        <v>374.60374457856307</v>
      </c>
      <c r="BA65" s="15">
        <v>76.930878417473068</v>
      </c>
      <c r="BB65" s="15">
        <v>124.03036090045417</v>
      </c>
      <c r="BC65" s="15">
        <v>173.64250526063583</v>
      </c>
      <c r="BD65" s="15">
        <v>0</v>
      </c>
      <c r="BE65" s="15">
        <v>143.8389184549996</v>
      </c>
      <c r="BF65" s="15">
        <v>49.95317794581554</v>
      </c>
      <c r="BG65" s="15">
        <v>1.4723613094253218</v>
      </c>
      <c r="BH65" s="15">
        <v>92.413379199758737</v>
      </c>
      <c r="BI65" s="15">
        <v>0</v>
      </c>
      <c r="BJ65" s="15">
        <v>670.5981187243043</v>
      </c>
      <c r="BK65" s="15">
        <v>812.22918015686355</v>
      </c>
      <c r="BL65" s="15">
        <v>2.3718379833626453</v>
      </c>
      <c r="BM65" s="15">
        <v>0.95057374211942769</v>
      </c>
    </row>
    <row r="66" spans="1:65" x14ac:dyDescent="0.35">
      <c r="A66" s="15" t="s">
        <v>10601</v>
      </c>
      <c r="B66" s="15" t="s">
        <v>10457</v>
      </c>
      <c r="C66" s="15" t="s">
        <v>10574</v>
      </c>
      <c r="D66" s="15" t="s">
        <v>10322</v>
      </c>
      <c r="E66" s="15" t="s">
        <v>10669</v>
      </c>
      <c r="F66" s="15">
        <v>54459</v>
      </c>
      <c r="G66" s="15">
        <v>0.89712693248936548</v>
      </c>
      <c r="H66" s="15">
        <v>200</v>
      </c>
      <c r="I66" s="80">
        <v>1128.5849917528044</v>
      </c>
      <c r="J66" s="81">
        <v>0.30771691924875189</v>
      </c>
      <c r="K66" s="15">
        <v>30</v>
      </c>
      <c r="L66" s="15">
        <v>87.470075188581319</v>
      </c>
      <c r="M66" s="15">
        <v>17.035361324752408</v>
      </c>
      <c r="N66" s="15">
        <v>19.103013057202716</v>
      </c>
      <c r="O66" s="15">
        <v>3.5606965672907718</v>
      </c>
      <c r="P66" s="15">
        <v>7.3965195043846421</v>
      </c>
      <c r="Q66" s="15">
        <v>8.1457969855273067</v>
      </c>
      <c r="R66" s="15">
        <v>1.5234652913119171</v>
      </c>
      <c r="S66" s="15">
        <v>3.1923856997946394</v>
      </c>
      <c r="T66" s="15">
        <v>3.4299459944207489</v>
      </c>
      <c r="U66" s="15">
        <v>0</v>
      </c>
      <c r="V66" s="15">
        <v>0</v>
      </c>
      <c r="W66" s="15">
        <v>579.94646310231155</v>
      </c>
      <c r="X66" s="15">
        <v>0</v>
      </c>
      <c r="Y66" s="15">
        <v>890.68201355741712</v>
      </c>
      <c r="Z66" s="15">
        <v>0</v>
      </c>
      <c r="AA66" s="15">
        <v>537.04200000000003</v>
      </c>
      <c r="AB66" s="15">
        <v>53.439</v>
      </c>
      <c r="AC66" s="15">
        <v>300.20101355741713</v>
      </c>
      <c r="AD66" s="15">
        <v>-237.90297819538728</v>
      </c>
      <c r="AE66" s="15">
        <v>-11.92783740543396</v>
      </c>
      <c r="AF66" s="15">
        <v>31.746537547131162</v>
      </c>
      <c r="AG66" s="15">
        <v>-365.33867050201769</v>
      </c>
      <c r="AH66" s="15">
        <v>0</v>
      </c>
      <c r="AI66" s="15">
        <v>101.46076874999999</v>
      </c>
      <c r="AJ66" s="15">
        <v>0</v>
      </c>
      <c r="AK66" s="15">
        <v>6.1562234149332449</v>
      </c>
      <c r="AL66" s="15">
        <v>0</v>
      </c>
      <c r="AM66" s="15">
        <v>0</v>
      </c>
      <c r="AN66" s="15">
        <v>-0.79247893062121666</v>
      </c>
      <c r="AO66" s="15">
        <v>1128.5849917528044</v>
      </c>
      <c r="AP66" s="15">
        <v>0</v>
      </c>
      <c r="AQ66" s="15">
        <v>0</v>
      </c>
      <c r="AR66" s="15">
        <v>0</v>
      </c>
      <c r="AS66" s="15">
        <v>0</v>
      </c>
      <c r="AT66" s="15">
        <v>0</v>
      </c>
      <c r="AU66" s="15">
        <v>685.38868852535541</v>
      </c>
      <c r="AV66" s="15">
        <v>111.98516300818231</v>
      </c>
      <c r="AW66" s="15">
        <v>111.98516300818231</v>
      </c>
      <c r="AX66" s="15">
        <v>0</v>
      </c>
      <c r="AY66" s="15">
        <v>0</v>
      </c>
      <c r="AZ66" s="15">
        <v>374.60374457856307</v>
      </c>
      <c r="BA66" s="15">
        <v>76.930878417473068</v>
      </c>
      <c r="BB66" s="15">
        <v>124.03036090045417</v>
      </c>
      <c r="BC66" s="15">
        <v>173.64250526063583</v>
      </c>
      <c r="BD66" s="15">
        <v>0</v>
      </c>
      <c r="BE66" s="15">
        <v>198.79978093860998</v>
      </c>
      <c r="BF66" s="15">
        <v>69.237691097959541</v>
      </c>
      <c r="BG66" s="15">
        <v>1.4723613094253218</v>
      </c>
      <c r="BH66" s="15">
        <v>128.08972853122512</v>
      </c>
      <c r="BI66" s="15">
        <v>0</v>
      </c>
      <c r="BJ66" s="15">
        <v>685.38868852535541</v>
      </c>
      <c r="BK66" s="15">
        <v>447.48571032996813</v>
      </c>
      <c r="BL66" s="15">
        <v>1.1568405204805496</v>
      </c>
      <c r="BM66" s="15">
        <v>0.30771691924875189</v>
      </c>
    </row>
    <row r="67" spans="1:65" x14ac:dyDescent="0.35">
      <c r="A67" s="15" t="s">
        <v>10601</v>
      </c>
      <c r="B67" s="15" t="s">
        <v>10457</v>
      </c>
      <c r="C67" s="15" t="s">
        <v>10574</v>
      </c>
      <c r="D67" s="15" t="s">
        <v>10323</v>
      </c>
      <c r="E67" s="15" t="s">
        <v>10670</v>
      </c>
      <c r="F67" s="15">
        <v>54459</v>
      </c>
      <c r="G67" s="15">
        <v>0.89712693248936548</v>
      </c>
      <c r="H67" s="15">
        <v>200</v>
      </c>
      <c r="I67" s="80">
        <v>782.02181504724172</v>
      </c>
      <c r="J67" s="79">
        <v>0.82646159237002725</v>
      </c>
      <c r="K67" s="15">
        <v>30</v>
      </c>
      <c r="L67" s="15">
        <v>87.470075188581319</v>
      </c>
      <c r="M67" s="15">
        <v>17.035361324752408</v>
      </c>
      <c r="N67" s="15">
        <v>19.103013057202716</v>
      </c>
      <c r="O67" s="15">
        <v>3.5606965672907718</v>
      </c>
      <c r="P67" s="15">
        <v>7.3965195043846421</v>
      </c>
      <c r="Q67" s="15">
        <v>8.1457969855273067</v>
      </c>
      <c r="R67" s="15">
        <v>1.5234652913119171</v>
      </c>
      <c r="S67" s="15">
        <v>3.1923856997946394</v>
      </c>
      <c r="T67" s="15">
        <v>3.4299459944207489</v>
      </c>
      <c r="U67" s="15">
        <v>0</v>
      </c>
      <c r="V67" s="15">
        <v>0</v>
      </c>
      <c r="W67" s="15">
        <v>0</v>
      </c>
      <c r="X67" s="15">
        <v>579946.46310231159</v>
      </c>
      <c r="Y67" s="15">
        <v>890.68201355741712</v>
      </c>
      <c r="Z67" s="15">
        <v>0</v>
      </c>
      <c r="AA67" s="15">
        <v>537.04200000000003</v>
      </c>
      <c r="AB67" s="15">
        <v>53.439</v>
      </c>
      <c r="AC67" s="15">
        <v>300.20101355741713</v>
      </c>
      <c r="AD67" s="15">
        <v>108.66019851017541</v>
      </c>
      <c r="AE67" s="15">
        <v>-11.92783740543396</v>
      </c>
      <c r="AF67" s="15">
        <v>0</v>
      </c>
      <c r="AG67" s="15">
        <v>0</v>
      </c>
      <c r="AH67" s="15">
        <v>0</v>
      </c>
      <c r="AI67" s="15">
        <v>101.46076874999999</v>
      </c>
      <c r="AJ67" s="15">
        <v>0</v>
      </c>
      <c r="AK67" s="15">
        <v>19.127267165609442</v>
      </c>
      <c r="AL67" s="15">
        <v>0</v>
      </c>
      <c r="AM67" s="15">
        <v>0</v>
      </c>
      <c r="AN67" s="15">
        <v>0.36195813339381949</v>
      </c>
      <c r="AO67" s="15">
        <v>782.02181504724172</v>
      </c>
      <c r="AP67" s="15">
        <v>0</v>
      </c>
      <c r="AQ67" s="15">
        <v>0</v>
      </c>
      <c r="AR67" s="15">
        <v>0</v>
      </c>
      <c r="AS67" s="15">
        <v>0</v>
      </c>
      <c r="AT67" s="15">
        <v>0</v>
      </c>
      <c r="AU67" s="15">
        <v>637.85180957928401</v>
      </c>
      <c r="AV67" s="15">
        <v>111.98516300818231</v>
      </c>
      <c r="AW67" s="15">
        <v>111.98516300818231</v>
      </c>
      <c r="AX67" s="15">
        <v>0</v>
      </c>
      <c r="AY67" s="15">
        <v>0</v>
      </c>
      <c r="AZ67" s="15">
        <v>374.60374457856307</v>
      </c>
      <c r="BA67" s="15">
        <v>76.930878417473068</v>
      </c>
      <c r="BB67" s="15">
        <v>124.03036090045417</v>
      </c>
      <c r="BC67" s="15">
        <v>173.64250526063583</v>
      </c>
      <c r="BD67" s="15">
        <v>0</v>
      </c>
      <c r="BE67" s="15">
        <v>151.26290199253867</v>
      </c>
      <c r="BF67" s="15">
        <v>52.558084450215212</v>
      </c>
      <c r="BG67" s="15">
        <v>1.4723613094253218</v>
      </c>
      <c r="BH67" s="15">
        <v>97.232456232898144</v>
      </c>
      <c r="BI67" s="15">
        <v>0</v>
      </c>
      <c r="BJ67" s="15">
        <v>637.85180957928401</v>
      </c>
      <c r="BK67" s="15">
        <v>746.51200808945941</v>
      </c>
      <c r="BL67" s="15">
        <v>2.1529274231062092</v>
      </c>
      <c r="BM67" s="15">
        <v>0.82646159237002725</v>
      </c>
    </row>
    <row r="68" spans="1:65" x14ac:dyDescent="0.35">
      <c r="A68" s="15" t="s">
        <v>10601</v>
      </c>
      <c r="B68" s="15" t="s">
        <v>10457</v>
      </c>
      <c r="C68" s="15" t="s">
        <v>10574</v>
      </c>
      <c r="D68" s="15" t="s">
        <v>10324</v>
      </c>
      <c r="E68" s="15" t="s">
        <v>10671</v>
      </c>
      <c r="F68" s="15">
        <v>54459</v>
      </c>
      <c r="G68" s="15">
        <v>0.89712693248936548</v>
      </c>
      <c r="H68" s="15">
        <v>200</v>
      </c>
      <c r="I68" s="80">
        <v>769.6200995104532</v>
      </c>
      <c r="J68" s="79">
        <v>0.85176150431622222</v>
      </c>
      <c r="K68" s="15">
        <v>30</v>
      </c>
      <c r="L68" s="15">
        <v>88.033998995733285</v>
      </c>
      <c r="M68" s="15">
        <v>17.171380333616245</v>
      </c>
      <c r="N68" s="15">
        <v>19.103013057202716</v>
      </c>
      <c r="O68" s="15">
        <v>2.6843553947981253</v>
      </c>
      <c r="P68" s="15">
        <v>7.7094984945605871</v>
      </c>
      <c r="Q68" s="15">
        <v>8.709159167844005</v>
      </c>
      <c r="R68" s="15">
        <v>1.5234652913119171</v>
      </c>
      <c r="S68" s="15">
        <v>3.7557478821113399</v>
      </c>
      <c r="T68" s="15">
        <v>3.4299459944207489</v>
      </c>
      <c r="U68" s="15">
        <v>0</v>
      </c>
      <c r="V68" s="15">
        <v>0</v>
      </c>
      <c r="W68" s="15">
        <v>0</v>
      </c>
      <c r="X68" s="15">
        <v>0</v>
      </c>
      <c r="Y68" s="15">
        <v>858.08517534542671</v>
      </c>
      <c r="Z68" s="15">
        <v>0</v>
      </c>
      <c r="AA68" s="15">
        <v>537.04200000000003</v>
      </c>
      <c r="AB68" s="15">
        <v>53.439</v>
      </c>
      <c r="AC68" s="15">
        <v>267.60417534542665</v>
      </c>
      <c r="AD68" s="15">
        <v>88.465075834973504</v>
      </c>
      <c r="AE68" s="15">
        <v>-12.995692915026606</v>
      </c>
      <c r="AF68" s="15">
        <v>0</v>
      </c>
      <c r="AG68" s="15">
        <v>0</v>
      </c>
      <c r="AH68" s="15">
        <v>0</v>
      </c>
      <c r="AI68" s="15">
        <v>101.46076874999999</v>
      </c>
      <c r="AJ68" s="15">
        <v>0</v>
      </c>
      <c r="AK68" s="15">
        <v>0</v>
      </c>
      <c r="AL68" s="15">
        <v>0</v>
      </c>
      <c r="AM68" s="15">
        <v>0</v>
      </c>
      <c r="AN68" s="15">
        <v>0.33058182190461616</v>
      </c>
      <c r="AO68" s="15">
        <v>769.6200995104532</v>
      </c>
      <c r="AP68" s="15">
        <v>0</v>
      </c>
      <c r="AQ68" s="15">
        <v>0</v>
      </c>
      <c r="AR68" s="15">
        <v>0</v>
      </c>
      <c r="AS68" s="15">
        <v>0</v>
      </c>
      <c r="AT68" s="15">
        <v>0</v>
      </c>
      <c r="AU68" s="15">
        <v>634.67187322147743</v>
      </c>
      <c r="AV68" s="15">
        <v>108.29938809739615</v>
      </c>
      <c r="AW68" s="15">
        <v>108.29938809739615</v>
      </c>
      <c r="AX68" s="15">
        <v>0</v>
      </c>
      <c r="AY68" s="15">
        <v>0</v>
      </c>
      <c r="AZ68" s="15">
        <v>379.73763250225613</v>
      </c>
      <c r="BA68" s="15">
        <v>76.930878417473068</v>
      </c>
      <c r="BB68" s="15">
        <v>126.1694808686596</v>
      </c>
      <c r="BC68" s="15">
        <v>176.63727321612345</v>
      </c>
      <c r="BD68" s="15">
        <v>0</v>
      </c>
      <c r="BE68" s="15">
        <v>146.63485262182519</v>
      </c>
      <c r="BF68" s="15">
        <v>50.934207478035034</v>
      </c>
      <c r="BG68" s="15">
        <v>1.4723613094253218</v>
      </c>
      <c r="BH68" s="15">
        <v>94.228283834364817</v>
      </c>
      <c r="BI68" s="15">
        <v>0</v>
      </c>
      <c r="BJ68" s="15">
        <v>634.67187322147743</v>
      </c>
      <c r="BK68" s="15">
        <v>723.13694905645093</v>
      </c>
      <c r="BL68" s="15">
        <v>2.4496358207597275</v>
      </c>
      <c r="BM68" s="15">
        <v>0.85176150431622222</v>
      </c>
    </row>
    <row r="69" spans="1:65" x14ac:dyDescent="0.35">
      <c r="A69" s="15" t="s">
        <v>10601</v>
      </c>
      <c r="B69" s="15" t="s">
        <v>10457</v>
      </c>
      <c r="C69" s="15" t="s">
        <v>10574</v>
      </c>
      <c r="D69" s="15" t="s">
        <v>10325</v>
      </c>
      <c r="E69" s="15" t="s">
        <v>10672</v>
      </c>
      <c r="F69" s="15">
        <v>54459</v>
      </c>
      <c r="G69" s="15">
        <v>0.89712693248936548</v>
      </c>
      <c r="H69" s="15">
        <v>200</v>
      </c>
      <c r="I69" s="80">
        <v>832.27790753955833</v>
      </c>
      <c r="J69" s="79">
        <v>0.69205792225050522</v>
      </c>
      <c r="K69" s="15">
        <v>30</v>
      </c>
      <c r="L69" s="15">
        <v>84.269111092645687</v>
      </c>
      <c r="M69" s="15">
        <v>16.027300754722333</v>
      </c>
      <c r="N69" s="15">
        <v>19.103013057202716</v>
      </c>
      <c r="O69" s="15">
        <v>4.2809374685864858</v>
      </c>
      <c r="P69" s="15">
        <v>6.6826160276706554</v>
      </c>
      <c r="Q69" s="15">
        <v>8.1394595609455749</v>
      </c>
      <c r="R69" s="15">
        <v>1.5234652913119171</v>
      </c>
      <c r="S69" s="15">
        <v>0</v>
      </c>
      <c r="T69" s="15">
        <v>6.6159942696336591</v>
      </c>
      <c r="U69" s="15">
        <v>0</v>
      </c>
      <c r="V69" s="15">
        <v>0</v>
      </c>
      <c r="W69" s="15">
        <v>0</v>
      </c>
      <c r="X69" s="15">
        <v>0</v>
      </c>
      <c r="Y69" s="15">
        <v>921.53665178408585</v>
      </c>
      <c r="Z69" s="15">
        <v>0</v>
      </c>
      <c r="AA69" s="15">
        <v>537.04200000000003</v>
      </c>
      <c r="AB69" s="15">
        <v>53.439</v>
      </c>
      <c r="AC69" s="15">
        <v>331.05565178408585</v>
      </c>
      <c r="AD69" s="15">
        <v>89.25874424452752</v>
      </c>
      <c r="AE69" s="15">
        <v>-12.202024505472433</v>
      </c>
      <c r="AF69" s="15">
        <v>0</v>
      </c>
      <c r="AG69" s="15">
        <v>0</v>
      </c>
      <c r="AH69" s="15">
        <v>0</v>
      </c>
      <c r="AI69" s="15">
        <v>101.46076874999999</v>
      </c>
      <c r="AJ69" s="15">
        <v>0</v>
      </c>
      <c r="AK69" s="15">
        <v>0</v>
      </c>
      <c r="AL69" s="15">
        <v>0</v>
      </c>
      <c r="AM69" s="15">
        <v>0</v>
      </c>
      <c r="AN69" s="15">
        <v>0.26961854831205834</v>
      </c>
      <c r="AO69" s="15">
        <v>832.27790753955833</v>
      </c>
      <c r="AP69" s="15">
        <v>0</v>
      </c>
      <c r="AQ69" s="15">
        <v>0</v>
      </c>
      <c r="AR69" s="15">
        <v>0</v>
      </c>
      <c r="AS69" s="15">
        <v>0</v>
      </c>
      <c r="AT69" s="15">
        <v>0</v>
      </c>
      <c r="AU69" s="15">
        <v>617.78142696638315</v>
      </c>
      <c r="AV69" s="15">
        <v>120.6095913760284</v>
      </c>
      <c r="AW69" s="15">
        <v>120.6095913760284</v>
      </c>
      <c r="AX69" s="15">
        <v>0</v>
      </c>
      <c r="AY69" s="15">
        <v>0</v>
      </c>
      <c r="AZ69" s="15">
        <v>341.15131759619817</v>
      </c>
      <c r="BA69" s="15">
        <v>76.930878417473068</v>
      </c>
      <c r="BB69" s="15">
        <v>110.09184965780213</v>
      </c>
      <c r="BC69" s="15">
        <v>154.12858952092299</v>
      </c>
      <c r="BD69" s="15">
        <v>0</v>
      </c>
      <c r="BE69" s="15">
        <v>156.02051799415662</v>
      </c>
      <c r="BF69" s="15">
        <v>54.227423398151338</v>
      </c>
      <c r="BG69" s="15">
        <v>1.4723613094253218</v>
      </c>
      <c r="BH69" s="15">
        <v>100.32073328657997</v>
      </c>
      <c r="BI69" s="15">
        <v>0</v>
      </c>
      <c r="BJ69" s="15">
        <v>617.78142696638315</v>
      </c>
      <c r="BK69" s="15">
        <v>707.04017121091067</v>
      </c>
      <c r="BL69" s="15">
        <v>1.7398419761837545</v>
      </c>
      <c r="BM69" s="15">
        <v>0.69205792225050522</v>
      </c>
    </row>
    <row r="70" spans="1:65" x14ac:dyDescent="0.35">
      <c r="A70" s="15" t="s">
        <v>10601</v>
      </c>
      <c r="B70" s="15" t="s">
        <v>10457</v>
      </c>
      <c r="C70" s="15" t="s">
        <v>10574</v>
      </c>
      <c r="D70" s="15" t="s">
        <v>10326</v>
      </c>
      <c r="E70" s="15" t="s">
        <v>10673</v>
      </c>
      <c r="F70" s="15">
        <v>54459</v>
      </c>
      <c r="G70" s="15">
        <v>0.89712693248936548</v>
      </c>
      <c r="H70" s="15">
        <v>200</v>
      </c>
      <c r="I70" s="80">
        <v>731.37573264712523</v>
      </c>
      <c r="J70" s="79">
        <v>1.4546459434779151</v>
      </c>
      <c r="K70" s="15">
        <v>30</v>
      </c>
      <c r="L70" s="15">
        <v>82.857063391003408</v>
      </c>
      <c r="M70" s="15">
        <v>15.644904941206276</v>
      </c>
      <c r="N70" s="15">
        <v>19.103013057202716</v>
      </c>
      <c r="O70" s="15">
        <v>13.960477238004509</v>
      </c>
      <c r="P70" s="15">
        <v>3.515909553178159</v>
      </c>
      <c r="Q70" s="15">
        <v>1.6266262660200466</v>
      </c>
      <c r="R70" s="15">
        <v>1.6266262660200466</v>
      </c>
      <c r="S70" s="15">
        <v>0</v>
      </c>
      <c r="T70" s="15">
        <v>0</v>
      </c>
      <c r="U70" s="15">
        <v>12112.626740599357</v>
      </c>
      <c r="V70" s="15">
        <v>0</v>
      </c>
      <c r="W70" s="15">
        <v>0</v>
      </c>
      <c r="X70" s="15">
        <v>0</v>
      </c>
      <c r="Y70" s="15">
        <v>1203.8968807172669</v>
      </c>
      <c r="Z70" s="15">
        <v>0</v>
      </c>
      <c r="AA70" s="15">
        <v>537.04200000000003</v>
      </c>
      <c r="AB70" s="15">
        <v>53.439</v>
      </c>
      <c r="AC70" s="15">
        <v>613.41588071726687</v>
      </c>
      <c r="AD70" s="15">
        <v>472.52114807014163</v>
      </c>
      <c r="AE70" s="15">
        <v>6.1668819486122839</v>
      </c>
      <c r="AF70" s="15">
        <v>0</v>
      </c>
      <c r="AG70" s="15">
        <v>0</v>
      </c>
      <c r="AH70" s="15">
        <v>343.35390789208714</v>
      </c>
      <c r="AI70" s="15">
        <v>123.00035822944253</v>
      </c>
      <c r="AJ70" s="15">
        <v>0</v>
      </c>
      <c r="AK70" s="15">
        <v>0</v>
      </c>
      <c r="AL70" s="15">
        <v>0</v>
      </c>
      <c r="AM70" s="15">
        <v>0</v>
      </c>
      <c r="AN70" s="15">
        <v>0.77031124058546196</v>
      </c>
      <c r="AO70" s="15">
        <v>731.37573264712523</v>
      </c>
      <c r="AP70" s="15">
        <v>349.52078984069942</v>
      </c>
      <c r="AQ70" s="15">
        <v>6.1668819486122839</v>
      </c>
      <c r="AR70" s="15">
        <v>0</v>
      </c>
      <c r="AS70" s="15">
        <v>0</v>
      </c>
      <c r="AT70" s="15">
        <v>343.35390789208714</v>
      </c>
      <c r="AU70" s="15">
        <v>655.26668545975463</v>
      </c>
      <c r="AV70" s="15">
        <v>163.25494908828856</v>
      </c>
      <c r="AW70" s="15">
        <v>163.25494908828856</v>
      </c>
      <c r="AX70" s="15">
        <v>0</v>
      </c>
      <c r="AY70" s="15">
        <v>0</v>
      </c>
      <c r="AZ70" s="15">
        <v>345.49079668339505</v>
      </c>
      <c r="BA70" s="15">
        <v>82.718698010625417</v>
      </c>
      <c r="BB70" s="15">
        <v>109.48837444698732</v>
      </c>
      <c r="BC70" s="15">
        <v>153.28372422578227</v>
      </c>
      <c r="BD70" s="15">
        <v>0</v>
      </c>
      <c r="BE70" s="15">
        <v>146.520939688071</v>
      </c>
      <c r="BF70" s="15">
        <v>50.855370776067048</v>
      </c>
      <c r="BG70" s="15">
        <v>1.5831329762799125</v>
      </c>
      <c r="BH70" s="15">
        <v>94.082435935724035</v>
      </c>
      <c r="BI70" s="15">
        <v>0</v>
      </c>
      <c r="BJ70" s="15">
        <v>1004.787475300454</v>
      </c>
      <c r="BK70" s="15">
        <v>1477.3086233705958</v>
      </c>
      <c r="BL70" s="15">
        <v>1.7343743063993056</v>
      </c>
      <c r="BM70" s="15">
        <v>1.4546459434779151</v>
      </c>
    </row>
    <row r="71" spans="1:65" s="60" customFormat="1" x14ac:dyDescent="0.35">
      <c r="A71" s="15" t="s">
        <v>10601</v>
      </c>
      <c r="B71" s="15" t="s">
        <v>10457</v>
      </c>
      <c r="C71" s="15" t="s">
        <v>10574</v>
      </c>
      <c r="D71" s="15" t="s">
        <v>10327</v>
      </c>
      <c r="E71" s="15" t="s">
        <v>10674</v>
      </c>
      <c r="F71" s="15">
        <v>54459</v>
      </c>
      <c r="G71" s="15">
        <v>0.89712693248936548</v>
      </c>
      <c r="H71" s="15">
        <v>200</v>
      </c>
      <c r="I71" s="80">
        <v>1819.2181626276911</v>
      </c>
      <c r="J71" s="81">
        <v>0.11891017171583931</v>
      </c>
      <c r="K71" s="15">
        <v>30</v>
      </c>
      <c r="L71" s="15">
        <v>80.666865025059153</v>
      </c>
      <c r="M71" s="15">
        <v>23.470573126375108</v>
      </c>
      <c r="N71" s="15">
        <v>19.103013057202716</v>
      </c>
      <c r="O71" s="15">
        <v>13.960477238004509</v>
      </c>
      <c r="P71" s="15">
        <v>3.515909553178159</v>
      </c>
      <c r="Q71" s="15">
        <v>1.6266262660200466</v>
      </c>
      <c r="R71" s="15">
        <v>1.6266262660200466</v>
      </c>
      <c r="S71" s="15">
        <v>0</v>
      </c>
      <c r="T71" s="15">
        <v>0</v>
      </c>
      <c r="U71" s="15">
        <v>12112.626740599357</v>
      </c>
      <c r="V71" s="15">
        <v>0</v>
      </c>
      <c r="W71" s="15">
        <v>0</v>
      </c>
      <c r="X71" s="15">
        <v>0</v>
      </c>
      <c r="Y71" s="15">
        <v>2089.5134954909827</v>
      </c>
      <c r="Z71" s="15">
        <v>0</v>
      </c>
      <c r="AA71" s="15">
        <v>537.04200000000003</v>
      </c>
      <c r="AB71" s="15">
        <v>53.439</v>
      </c>
      <c r="AC71" s="15">
        <v>1499.0324954909825</v>
      </c>
      <c r="AD71" s="15">
        <v>270.29533286329161</v>
      </c>
      <c r="AE71" s="15">
        <v>7.3570897142545677</v>
      </c>
      <c r="AF71" s="15">
        <v>0</v>
      </c>
      <c r="AG71" s="15">
        <v>0</v>
      </c>
      <c r="AH71" s="15">
        <v>139.93788491959421</v>
      </c>
      <c r="AI71" s="15">
        <v>123.00035822944253</v>
      </c>
      <c r="AJ71" s="15">
        <v>0</v>
      </c>
      <c r="AK71" s="15">
        <v>0</v>
      </c>
      <c r="AL71" s="15">
        <v>0</v>
      </c>
      <c r="AM71" s="15">
        <v>0</v>
      </c>
      <c r="AN71" s="15">
        <v>0.18031319112582744</v>
      </c>
      <c r="AO71" s="15">
        <v>1819.2181626276911</v>
      </c>
      <c r="AP71" s="15">
        <v>147.29497463384877</v>
      </c>
      <c r="AQ71" s="15">
        <v>7.3570897142545677</v>
      </c>
      <c r="AR71" s="15">
        <v>0</v>
      </c>
      <c r="AS71" s="15">
        <v>0</v>
      </c>
      <c r="AT71" s="15">
        <v>139.93788491959421</v>
      </c>
      <c r="AU71" s="15">
        <v>1097.7657321004745</v>
      </c>
      <c r="AV71" s="15">
        <v>163.25494908828856</v>
      </c>
      <c r="AW71" s="15">
        <v>163.25494908828856</v>
      </c>
      <c r="AX71" s="15">
        <v>0</v>
      </c>
      <c r="AY71" s="15">
        <v>0</v>
      </c>
      <c r="AZ71" s="15">
        <v>632.9722970518842</v>
      </c>
      <c r="BA71" s="15">
        <v>82.718698010625417</v>
      </c>
      <c r="BB71" s="15">
        <v>229.27233293385785</v>
      </c>
      <c r="BC71" s="15">
        <v>320.98126610740098</v>
      </c>
      <c r="BD71" s="15">
        <v>0</v>
      </c>
      <c r="BE71" s="15">
        <v>301.53848596030161</v>
      </c>
      <c r="BF71" s="15">
        <v>105.24749227509534</v>
      </c>
      <c r="BG71" s="15">
        <v>1.5831329762799125</v>
      </c>
      <c r="BH71" s="15">
        <v>194.70786070892635</v>
      </c>
      <c r="BI71" s="15">
        <v>0</v>
      </c>
      <c r="BJ71" s="15">
        <v>1245.0607067343233</v>
      </c>
      <c r="BK71" s="59">
        <v>1515.3560395976149</v>
      </c>
      <c r="BL71" s="59">
        <v>0.14430877566518618</v>
      </c>
      <c r="BM71" s="59">
        <v>0.11891017171583931</v>
      </c>
    </row>
    <row r="72" spans="1:65" s="60" customFormat="1" x14ac:dyDescent="0.35">
      <c r="A72" s="59" t="s">
        <v>10601</v>
      </c>
      <c r="B72" s="59" t="s">
        <v>10457</v>
      </c>
      <c r="C72" s="59" t="s">
        <v>10675</v>
      </c>
      <c r="D72" s="59" t="s">
        <v>10326</v>
      </c>
      <c r="E72" s="59" t="s">
        <v>10676</v>
      </c>
      <c r="F72" s="59">
        <v>54459</v>
      </c>
      <c r="G72" s="59">
        <v>0.89712693248936548</v>
      </c>
      <c r="H72" s="59">
        <v>200</v>
      </c>
      <c r="I72" s="59">
        <v>731.37573264712523</v>
      </c>
      <c r="J72" s="88">
        <v>1.4546459434779151</v>
      </c>
      <c r="K72" s="59">
        <v>30</v>
      </c>
      <c r="L72" s="59">
        <v>82.857063391003408</v>
      </c>
      <c r="M72" s="59">
        <v>15.644904941206276</v>
      </c>
      <c r="N72" s="59">
        <v>19.103013057202716</v>
      </c>
      <c r="O72" s="59">
        <v>13.960477238004509</v>
      </c>
      <c r="P72" s="59">
        <v>3.515909553178159</v>
      </c>
      <c r="Q72" s="59">
        <v>1.6266262660200466</v>
      </c>
      <c r="R72" s="59">
        <v>1.6266262660200466</v>
      </c>
      <c r="S72" s="59">
        <v>0</v>
      </c>
      <c r="T72" s="59">
        <v>0</v>
      </c>
      <c r="U72" s="59">
        <v>12112.626740599357</v>
      </c>
      <c r="V72" s="59">
        <v>0</v>
      </c>
      <c r="W72" s="59">
        <v>0</v>
      </c>
      <c r="X72" s="59">
        <v>0</v>
      </c>
      <c r="Y72" s="59">
        <v>1203.8968807172669</v>
      </c>
      <c r="Z72" s="59">
        <v>0</v>
      </c>
      <c r="AA72" s="59">
        <v>537.04200000000003</v>
      </c>
      <c r="AB72" s="59">
        <v>53.439</v>
      </c>
      <c r="AC72" s="59">
        <v>613.41588071726687</v>
      </c>
      <c r="AD72" s="59">
        <v>472.52114807014163</v>
      </c>
      <c r="AE72" s="59">
        <v>6.1668819486122839</v>
      </c>
      <c r="AF72" s="59">
        <v>0</v>
      </c>
      <c r="AG72" s="59">
        <v>0</v>
      </c>
      <c r="AH72" s="59">
        <v>343.35390789208714</v>
      </c>
      <c r="AI72" s="59">
        <v>123.00035822944253</v>
      </c>
      <c r="AJ72" s="59">
        <v>0</v>
      </c>
      <c r="AK72" s="59">
        <v>0</v>
      </c>
      <c r="AL72" s="59">
        <v>0</v>
      </c>
      <c r="AM72" s="59">
        <v>0</v>
      </c>
      <c r="AN72" s="59">
        <v>0.77031124058546196</v>
      </c>
      <c r="AO72" s="59">
        <v>731.37573264712523</v>
      </c>
      <c r="AP72" s="59">
        <v>349.52078984069942</v>
      </c>
      <c r="AQ72" s="59">
        <v>6.1668819486122839</v>
      </c>
      <c r="AR72" s="59">
        <v>0</v>
      </c>
      <c r="AS72" s="59">
        <v>0</v>
      </c>
      <c r="AT72" s="59">
        <v>343.35390789208714</v>
      </c>
      <c r="AU72" s="59">
        <v>655.26668545975463</v>
      </c>
      <c r="AV72" s="59">
        <v>163.25494908828856</v>
      </c>
      <c r="AW72" s="59">
        <v>163.25494908828856</v>
      </c>
      <c r="AX72" s="59">
        <v>0</v>
      </c>
      <c r="AY72" s="59">
        <v>0</v>
      </c>
      <c r="AZ72" s="59">
        <v>345.49079668339505</v>
      </c>
      <c r="BA72" s="59">
        <v>82.718698010625417</v>
      </c>
      <c r="BB72" s="59">
        <v>109.48837444698732</v>
      </c>
      <c r="BC72" s="59">
        <v>153.28372422578227</v>
      </c>
      <c r="BD72" s="59">
        <v>0</v>
      </c>
      <c r="BE72" s="59">
        <v>146.520939688071</v>
      </c>
      <c r="BF72" s="59">
        <v>50.855370776067048</v>
      </c>
      <c r="BG72" s="59">
        <v>1.5831329762799125</v>
      </c>
      <c r="BH72" s="59">
        <v>94.082435935724035</v>
      </c>
      <c r="BI72" s="59">
        <v>0</v>
      </c>
      <c r="BJ72" s="59">
        <v>1004.787475300454</v>
      </c>
      <c r="BK72" s="59">
        <v>1477.3086233705958</v>
      </c>
      <c r="BL72" s="59">
        <v>1.7343743063993056</v>
      </c>
      <c r="BM72" s="59">
        <v>1.4546459434779151</v>
      </c>
    </row>
    <row r="73" spans="1:65" s="56" customFormat="1" x14ac:dyDescent="0.35">
      <c r="A73" s="55" t="s">
        <v>10601</v>
      </c>
      <c r="B73" s="55" t="s">
        <v>10677</v>
      </c>
      <c r="C73" s="55" t="s">
        <v>9780</v>
      </c>
      <c r="D73" s="55" t="s">
        <v>9780</v>
      </c>
      <c r="E73" s="55" t="s">
        <v>10013</v>
      </c>
      <c r="F73" s="55">
        <f>F64</f>
        <v>18919</v>
      </c>
      <c r="G73" s="55">
        <f>G64</f>
        <v>0.89712986944341666</v>
      </c>
      <c r="H73" s="55">
        <f>(H64*N64+H72*N72)/(N64+N72)</f>
        <v>200</v>
      </c>
      <c r="I73" s="55">
        <f>(I64*N64+I72*N72)/(N64+N72)</f>
        <v>683.34758780995651</v>
      </c>
      <c r="J73" s="89">
        <f>(J64*N64+J72*N72)/(N64+N72)</f>
        <v>1.5411024500522326</v>
      </c>
      <c r="K73" s="55">
        <f>K64</f>
        <v>30</v>
      </c>
      <c r="L73" s="55">
        <f t="shared" ref="L73:W73" si="6">L64+L72</f>
        <v>120.78209503798321</v>
      </c>
      <c r="M73" s="55">
        <f t="shared" si="6"/>
        <v>23.659077564284253</v>
      </c>
      <c r="N73" s="55">
        <f t="shared" si="6"/>
        <v>25.739401664939738</v>
      </c>
      <c r="O73" s="55">
        <f t="shared" si="6"/>
        <v>18.81034839829945</v>
      </c>
      <c r="P73" s="55">
        <f t="shared" si="6"/>
        <v>4.737336876432158</v>
      </c>
      <c r="Q73" s="55">
        <f t="shared" si="6"/>
        <v>2.1917163902081289</v>
      </c>
      <c r="R73" s="55">
        <f t="shared" si="6"/>
        <v>2.1917163902081289</v>
      </c>
      <c r="S73" s="55">
        <f t="shared" si="6"/>
        <v>0</v>
      </c>
      <c r="T73" s="55">
        <f t="shared" si="6"/>
        <v>0</v>
      </c>
      <c r="U73" s="55">
        <f t="shared" si="6"/>
        <v>16320.55445704804</v>
      </c>
      <c r="V73" s="55">
        <f t="shared" si="6"/>
        <v>0</v>
      </c>
      <c r="W73" s="55">
        <f t="shared" si="6"/>
        <v>0</v>
      </c>
      <c r="X73" s="55">
        <f>(X64*N64+X72*N72)/(N64+N72)</f>
        <v>0</v>
      </c>
      <c r="Y73" s="55">
        <f>(Y64*N64+Y72*N72)/(N64+N72)</f>
        <v>1158.929047652658</v>
      </c>
      <c r="Z73" s="55">
        <f>(Z64*N64+Z72*N72)/(N64+N72)</f>
        <v>0</v>
      </c>
      <c r="AA73" s="55">
        <f>(AA64*N64+AA72*N72)/(N64+N72)</f>
        <v>507.44234841323436</v>
      </c>
      <c r="AB73" s="55">
        <f>(AB64*N64+AB72*N72)/(N64+N72)</f>
        <v>39.660825377863191</v>
      </c>
      <c r="AC73" s="55">
        <f>(AC64*N64+AC72*N72)/(N64+N72)</f>
        <v>611.82587386156069</v>
      </c>
      <c r="AD73" s="55">
        <f>(AD64*N64+AD72*N72)/(N64+N72)</f>
        <v>475.58145984270146</v>
      </c>
      <c r="AE73" s="55">
        <f>(AE64*N64+AE72*N72)/(N64+N72)</f>
        <v>4.5768750929060884</v>
      </c>
      <c r="AF73" s="55">
        <f>(AF64*N64+AF72*N72)/(N64+N72)</f>
        <v>0</v>
      </c>
      <c r="AG73" s="55">
        <f>(AG64*N64+AG72*N72)/(N64+N72)</f>
        <v>0</v>
      </c>
      <c r="AH73" s="55">
        <f>(AH64*N64+AH72*N72)/(N64+N72)</f>
        <v>348.00422652035303</v>
      </c>
      <c r="AI73" s="55">
        <f>(AI64*N64+AI72*N72)/(N64+N72)</f>
        <v>123.00035822944251</v>
      </c>
      <c r="AJ73" s="55">
        <f>(AJ64*N64+AJ72*N72)/(N64+N72)</f>
        <v>0</v>
      </c>
      <c r="AK73" s="55">
        <f>(AK64*N64+AK72*N72)/(N64+N72)</f>
        <v>0</v>
      </c>
      <c r="AL73" s="55">
        <f>(AL64*N64+AL72*N72)/(N64+N72)</f>
        <v>0</v>
      </c>
      <c r="AM73" s="55">
        <f>(AM64*N64+AM72*N72)/(N64+N72)</f>
        <v>0</v>
      </c>
      <c r="AN73" s="55">
        <f>(AN64*N64+AN72*N72)/(N64+N72)</f>
        <v>0.77736783834817114</v>
      </c>
      <c r="AO73" s="55">
        <f>(AO64*N64+AO72*N72)/(N64+N72)</f>
        <v>683.34758780995651</v>
      </c>
      <c r="AP73" s="55">
        <f>(AP64*N64+AP72*N72)/(N64+N72)</f>
        <v>352.58110161325914</v>
      </c>
      <c r="AQ73" s="55">
        <f>(AQ64*N64+AQ72*N72)/(N64+N72)</f>
        <v>4.5768750929060884</v>
      </c>
      <c r="AR73" s="55">
        <f>(AR64*N64+AR72*N72)/(N64+N72)</f>
        <v>0</v>
      </c>
      <c r="AS73" s="55">
        <f>(AS64*N64+AS72*N72)/(N64+N72)</f>
        <v>0</v>
      </c>
      <c r="AT73" s="55">
        <f>(AT64*N64+AT72*N72)/(N64+N72)</f>
        <v>348.00422652035303</v>
      </c>
      <c r="AU73" s="55">
        <f>(AU64*N64+AU72*N72)/(N64+N72)</f>
        <v>624.81932195204536</v>
      </c>
      <c r="AV73" s="55">
        <f>(AV64*N64+AV72*N72)/(N64+N72)</f>
        <v>166.14751919586803</v>
      </c>
      <c r="AW73" s="55">
        <f>(AW64*N64+AW72*N72)/(N64+N72)</f>
        <v>166.14751919586803</v>
      </c>
      <c r="AX73" s="55">
        <f>(AX64*N64+AX72*N72)/(N64+N72)</f>
        <v>0</v>
      </c>
      <c r="AY73" s="55">
        <f>(AY64*N64+AY72*N72)/(N64+N72)</f>
        <v>0</v>
      </c>
      <c r="AZ73" s="55">
        <f>(AZ64*N64+AZ72*N72)/(N64+N72)</f>
        <v>306.57422961802149</v>
      </c>
      <c r="BA73" s="55">
        <f>(BA64*N64+BA72*N72)/(N64+N72)</f>
        <v>82.718698010625445</v>
      </c>
      <c r="BB73" s="55">
        <f>(BB64*N64+BB72*N72)/(N64+N72)</f>
        <v>93.273138169748336</v>
      </c>
      <c r="BC73" s="55">
        <f>(BC64*N64+BC72*N72)/(N64+N72)</f>
        <v>130.58239343764771</v>
      </c>
      <c r="BD73" s="55">
        <f>(BD64*N64+BD72*N72)/(N64+N72)</f>
        <v>0</v>
      </c>
      <c r="BE73" s="55">
        <f>(BE64*N64+BE72*N72)/(N64+N72)</f>
        <v>152.09757313815578</v>
      </c>
      <c r="BF73" s="55">
        <f>(BF64*N64+BF72*N72)/(N64+N72)</f>
        <v>52.812084267324863</v>
      </c>
      <c r="BG73" s="55">
        <f>(BG64*N64+BG72*N72)/(N64+N72)</f>
        <v>1.5831329762799125</v>
      </c>
      <c r="BH73" s="55">
        <f>(BH64*N64+BH72*N72)/(N64+N72)</f>
        <v>97.70235589455099</v>
      </c>
      <c r="BI73" s="55">
        <f>(BI64*N64+BI72*N72)/(N64+N72)</f>
        <v>0</v>
      </c>
      <c r="BJ73" s="55">
        <f>(BJ64*N64+BJ72*N72)/(N64+N72)</f>
        <v>977.40042356530455</v>
      </c>
      <c r="BK73" s="55">
        <f>(BK64*N64+BK72*N72)/(N64+N72)</f>
        <v>1452.9818834080063</v>
      </c>
      <c r="BL73" s="55">
        <f>(BL64*N64+BL72*N72)/(N64+N72)</f>
        <v>1.7014733611365542</v>
      </c>
      <c r="BM73" s="55">
        <f>(BM64*N64+BM72*N72)/(N64+N72)</f>
        <v>1.5411024500522326</v>
      </c>
    </row>
    <row r="74" spans="1:65" x14ac:dyDescent="0.35">
      <c r="A74" s="15" t="s">
        <v>10612</v>
      </c>
      <c r="B74" s="15" t="s">
        <v>10457</v>
      </c>
      <c r="C74" s="15" t="s">
        <v>10573</v>
      </c>
      <c r="D74" s="15" t="s">
        <v>10321</v>
      </c>
      <c r="E74" s="15" t="s">
        <v>10678</v>
      </c>
      <c r="F74" s="15">
        <v>18919</v>
      </c>
      <c r="G74" s="15">
        <v>0.89712986944341666</v>
      </c>
      <c r="H74" s="15">
        <v>200</v>
      </c>
      <c r="I74" s="80">
        <v>549.51951784729408</v>
      </c>
      <c r="J74" s="79">
        <v>1.1603714036409576</v>
      </c>
      <c r="K74" s="15">
        <v>30</v>
      </c>
      <c r="L74" s="15">
        <v>39.528246974342871</v>
      </c>
      <c r="M74" s="15">
        <v>8.6683235982771087</v>
      </c>
      <c r="N74" s="15">
        <v>6.6363886077370218</v>
      </c>
      <c r="O74" s="15">
        <v>1.2369863363448381</v>
      </c>
      <c r="P74" s="15">
        <v>2.5695516005154566</v>
      </c>
      <c r="Q74" s="15">
        <v>2.8298506708767253</v>
      </c>
      <c r="R74" s="15">
        <v>0.52925199146702739</v>
      </c>
      <c r="S74" s="15">
        <v>1.109035104890516</v>
      </c>
      <c r="T74" s="15">
        <v>1.1915635745191826</v>
      </c>
      <c r="U74" s="15">
        <v>0</v>
      </c>
      <c r="V74" s="15">
        <v>805.8938324137099</v>
      </c>
      <c r="W74" s="15">
        <v>0</v>
      </c>
      <c r="X74" s="15">
        <v>0</v>
      </c>
      <c r="Y74" s="15">
        <v>711.1370855944532</v>
      </c>
      <c r="Z74" s="15">
        <v>0</v>
      </c>
      <c r="AA74" s="15">
        <v>422.23899999999998</v>
      </c>
      <c r="AB74" s="15">
        <v>0</v>
      </c>
      <c r="AC74" s="15">
        <v>288.89808559445322</v>
      </c>
      <c r="AD74" s="15">
        <v>161.61756774715911</v>
      </c>
      <c r="AE74" s="15">
        <v>0.54994788619329271</v>
      </c>
      <c r="AF74" s="15">
        <v>0</v>
      </c>
      <c r="AG74" s="15">
        <v>0</v>
      </c>
      <c r="AH74" s="15">
        <v>40.249386060965911</v>
      </c>
      <c r="AI74" s="15">
        <v>101.46076874999999</v>
      </c>
      <c r="AJ74" s="15">
        <v>-1.468144660174908E-15</v>
      </c>
      <c r="AK74" s="15">
        <v>0</v>
      </c>
      <c r="AL74" s="15">
        <v>0</v>
      </c>
      <c r="AM74" s="15">
        <v>19.357465050000009</v>
      </c>
      <c r="AN74" s="15">
        <v>0.5594276175787235</v>
      </c>
      <c r="AO74" s="15">
        <v>549.51951784729408</v>
      </c>
      <c r="AP74" s="15">
        <v>40.799333947159205</v>
      </c>
      <c r="AQ74" s="15">
        <v>0.54994788619329271</v>
      </c>
      <c r="AR74" s="15">
        <v>0</v>
      </c>
      <c r="AS74" s="15">
        <v>0</v>
      </c>
      <c r="AT74" s="15">
        <v>40.249386060965911</v>
      </c>
      <c r="AU74" s="15">
        <v>524.1279181527018</v>
      </c>
      <c r="AV74" s="15">
        <v>125.8448511889483</v>
      </c>
      <c r="AW74" s="15">
        <v>125.8448511889483</v>
      </c>
      <c r="AX74" s="15">
        <v>0</v>
      </c>
      <c r="AY74" s="15">
        <v>0</v>
      </c>
      <c r="AZ74" s="15">
        <v>232.76638106271054</v>
      </c>
      <c r="BA74" s="15">
        <v>76.930878417473096</v>
      </c>
      <c r="BB74" s="15">
        <v>64.931459435515606</v>
      </c>
      <c r="BC74" s="15">
        <v>90.904043209721834</v>
      </c>
      <c r="BD74" s="15">
        <v>0</v>
      </c>
      <c r="BE74" s="15">
        <v>165.51668590104299</v>
      </c>
      <c r="BF74" s="15">
        <v>57.559412137409709</v>
      </c>
      <c r="BG74" s="15">
        <v>1.4723613094253223</v>
      </c>
      <c r="BH74" s="15">
        <v>106.48491245420796</v>
      </c>
      <c r="BI74" s="15">
        <v>0</v>
      </c>
      <c r="BJ74" s="15">
        <v>564.92725209986099</v>
      </c>
      <c r="BK74" s="15">
        <v>726.54481984702011</v>
      </c>
      <c r="BL74" s="15">
        <v>2.207168430834384</v>
      </c>
      <c r="BM74" s="15">
        <v>1.1603714036409576</v>
      </c>
    </row>
    <row r="75" spans="1:65" x14ac:dyDescent="0.35">
      <c r="A75" s="15" t="s">
        <v>10612</v>
      </c>
      <c r="B75" s="15" t="s">
        <v>10457</v>
      </c>
      <c r="C75" s="15" t="s">
        <v>10573</v>
      </c>
      <c r="D75" s="15" t="s">
        <v>10322</v>
      </c>
      <c r="E75" s="15" t="s">
        <v>10679</v>
      </c>
      <c r="F75" s="15">
        <v>18919</v>
      </c>
      <c r="G75" s="15">
        <v>0.89712986944341666</v>
      </c>
      <c r="H75" s="15">
        <v>200</v>
      </c>
      <c r="I75" s="80">
        <v>492.01241261482943</v>
      </c>
      <c r="J75" s="79">
        <v>1.2583447754417019</v>
      </c>
      <c r="K75" s="15">
        <v>30</v>
      </c>
      <c r="L75" s="15">
        <v>39.528246974342871</v>
      </c>
      <c r="M75" s="15">
        <v>8.6683235982771087</v>
      </c>
      <c r="N75" s="15">
        <v>6.6363886077370218</v>
      </c>
      <c r="O75" s="15">
        <v>1.2369863363448381</v>
      </c>
      <c r="P75" s="15">
        <v>2.5695516005154566</v>
      </c>
      <c r="Q75" s="15">
        <v>2.8298506708767253</v>
      </c>
      <c r="R75" s="15">
        <v>0.52925199146702739</v>
      </c>
      <c r="S75" s="15">
        <v>1.109035104890516</v>
      </c>
      <c r="T75" s="15">
        <v>1.1915635745191826</v>
      </c>
      <c r="U75" s="15">
        <v>0</v>
      </c>
      <c r="V75" s="15">
        <v>0</v>
      </c>
      <c r="W75" s="15">
        <v>201.47345810342748</v>
      </c>
      <c r="X75" s="15">
        <v>0</v>
      </c>
      <c r="Y75" s="15">
        <v>711.1370855944532</v>
      </c>
      <c r="Z75" s="15">
        <v>0</v>
      </c>
      <c r="AA75" s="15">
        <v>422.23899999999998</v>
      </c>
      <c r="AB75" s="15">
        <v>0</v>
      </c>
      <c r="AC75" s="15">
        <v>288.89808559445322</v>
      </c>
      <c r="AD75" s="15">
        <v>219.12467297962377</v>
      </c>
      <c r="AE75" s="15">
        <v>-0.62490944247001956</v>
      </c>
      <c r="AF75" s="15">
        <v>91.383214144028386</v>
      </c>
      <c r="AG75" s="15">
        <v>197.29195325637224</v>
      </c>
      <c r="AH75" s="15">
        <v>0</v>
      </c>
      <c r="AI75" s="15">
        <v>101.46076874999999</v>
      </c>
      <c r="AJ75" s="15">
        <v>0</v>
      </c>
      <c r="AK75" s="15">
        <v>-189.74381877830683</v>
      </c>
      <c r="AL75" s="15">
        <v>0</v>
      </c>
      <c r="AM75" s="15">
        <v>19.357465050000009</v>
      </c>
      <c r="AN75" s="15">
        <v>0.75848433723172759</v>
      </c>
      <c r="AO75" s="15">
        <v>492.01241261482943</v>
      </c>
      <c r="AP75" s="15">
        <v>0</v>
      </c>
      <c r="AQ75" s="15">
        <v>0</v>
      </c>
      <c r="AR75" s="15">
        <v>0</v>
      </c>
      <c r="AS75" s="15">
        <v>0</v>
      </c>
      <c r="AT75" s="15">
        <v>0</v>
      </c>
      <c r="AU75" s="15">
        <v>488.89466148116696</v>
      </c>
      <c r="AV75" s="15">
        <v>125.8448511889483</v>
      </c>
      <c r="AW75" s="15">
        <v>125.8448511889483</v>
      </c>
      <c r="AX75" s="15">
        <v>0</v>
      </c>
      <c r="AY75" s="15">
        <v>0</v>
      </c>
      <c r="AZ75" s="15">
        <v>232.76638106271054</v>
      </c>
      <c r="BA75" s="15">
        <v>76.930878417473096</v>
      </c>
      <c r="BB75" s="15">
        <v>64.931459435515606</v>
      </c>
      <c r="BC75" s="15">
        <v>90.904043209721834</v>
      </c>
      <c r="BD75" s="15">
        <v>0</v>
      </c>
      <c r="BE75" s="15">
        <v>130.2834292295081</v>
      </c>
      <c r="BF75" s="15">
        <v>45.196865936871149</v>
      </c>
      <c r="BG75" s="15">
        <v>1.4723613094253223</v>
      </c>
      <c r="BH75" s="15">
        <v>83.614201983211615</v>
      </c>
      <c r="BI75" s="15">
        <v>0</v>
      </c>
      <c r="BJ75" s="15">
        <v>488.89466148116696</v>
      </c>
      <c r="BK75" s="15">
        <v>708.01933446079079</v>
      </c>
      <c r="BL75" s="15">
        <v>2.1430437920431289</v>
      </c>
      <c r="BM75" s="15">
        <v>1.2583447754417019</v>
      </c>
    </row>
    <row r="76" spans="1:65" x14ac:dyDescent="0.35">
      <c r="A76" s="15" t="s">
        <v>10612</v>
      </c>
      <c r="B76" s="15" t="s">
        <v>10457</v>
      </c>
      <c r="C76" s="15" t="s">
        <v>10573</v>
      </c>
      <c r="D76" s="15" t="s">
        <v>10323</v>
      </c>
      <c r="E76" s="15" t="s">
        <v>10680</v>
      </c>
      <c r="F76" s="15">
        <v>18919</v>
      </c>
      <c r="G76" s="15">
        <v>0.89712986944341666</v>
      </c>
      <c r="H76" s="15">
        <v>200</v>
      </c>
      <c r="I76" s="80">
        <v>564.3008429561994</v>
      </c>
      <c r="J76" s="79">
        <v>1.0419424979047256</v>
      </c>
      <c r="K76" s="15">
        <v>30</v>
      </c>
      <c r="L76" s="15">
        <v>39.528246974342871</v>
      </c>
      <c r="M76" s="15">
        <v>8.6683235982771087</v>
      </c>
      <c r="N76" s="15">
        <v>6.6363886077370218</v>
      </c>
      <c r="O76" s="15">
        <v>1.2369863363448381</v>
      </c>
      <c r="P76" s="15">
        <v>2.5695516005154566</v>
      </c>
      <c r="Q76" s="15">
        <v>2.8298506708767253</v>
      </c>
      <c r="R76" s="15">
        <v>0.52925199146702739</v>
      </c>
      <c r="S76" s="15">
        <v>1.109035104890516</v>
      </c>
      <c r="T76" s="15">
        <v>1.1915635745191826</v>
      </c>
      <c r="U76" s="15">
        <v>0</v>
      </c>
      <c r="V76" s="15">
        <v>0</v>
      </c>
      <c r="W76" s="15">
        <v>0</v>
      </c>
      <c r="X76" s="15">
        <v>201473.45810342749</v>
      </c>
      <c r="Y76" s="15">
        <v>711.1370855944532</v>
      </c>
      <c r="Z76" s="15">
        <v>0</v>
      </c>
      <c r="AA76" s="15">
        <v>422.23899999999998</v>
      </c>
      <c r="AB76" s="15">
        <v>0</v>
      </c>
      <c r="AC76" s="15">
        <v>288.89808559445322</v>
      </c>
      <c r="AD76" s="15">
        <v>146.83624263825379</v>
      </c>
      <c r="AE76" s="15">
        <v>-0.62490944247001956</v>
      </c>
      <c r="AF76" s="15">
        <v>0</v>
      </c>
      <c r="AG76" s="15">
        <v>0</v>
      </c>
      <c r="AH76" s="15">
        <v>0</v>
      </c>
      <c r="AI76" s="15">
        <v>101.46076874999999</v>
      </c>
      <c r="AJ76" s="15">
        <v>0</v>
      </c>
      <c r="AK76" s="15">
        <v>26.642918280723894</v>
      </c>
      <c r="AL76" s="15">
        <v>0</v>
      </c>
      <c r="AM76" s="15">
        <v>19.357465050000009</v>
      </c>
      <c r="AN76" s="15">
        <v>0.50826312101070226</v>
      </c>
      <c r="AO76" s="15">
        <v>564.3008429561994</v>
      </c>
      <c r="AP76" s="15">
        <v>0</v>
      </c>
      <c r="AQ76" s="15">
        <v>0</v>
      </c>
      <c r="AR76" s="15">
        <v>0</v>
      </c>
      <c r="AS76" s="15">
        <v>0</v>
      </c>
      <c r="AT76" s="15">
        <v>0</v>
      </c>
      <c r="AU76" s="15">
        <v>530.03087283572404</v>
      </c>
      <c r="AV76" s="15">
        <v>125.8448511889483</v>
      </c>
      <c r="AW76" s="15">
        <v>125.8448511889483</v>
      </c>
      <c r="AX76" s="15">
        <v>0</v>
      </c>
      <c r="AY76" s="15">
        <v>0</v>
      </c>
      <c r="AZ76" s="15">
        <v>232.76638106271054</v>
      </c>
      <c r="BA76" s="15">
        <v>76.930878417473096</v>
      </c>
      <c r="BB76" s="15">
        <v>64.931459435515606</v>
      </c>
      <c r="BC76" s="15">
        <v>90.904043209721834</v>
      </c>
      <c r="BD76" s="15">
        <v>0</v>
      </c>
      <c r="BE76" s="15">
        <v>171.41964058406518</v>
      </c>
      <c r="BF76" s="15">
        <v>59.630624306891178</v>
      </c>
      <c r="BG76" s="15">
        <v>1.4723613094253223</v>
      </c>
      <c r="BH76" s="15">
        <v>110.31665496774866</v>
      </c>
      <c r="BI76" s="15">
        <v>0</v>
      </c>
      <c r="BJ76" s="15">
        <v>530.03087283572404</v>
      </c>
      <c r="BK76" s="15">
        <v>676.86711547397783</v>
      </c>
      <c r="BL76" s="15">
        <v>2.0352126206363947</v>
      </c>
      <c r="BM76" s="15">
        <v>1.0419424979047256</v>
      </c>
    </row>
    <row r="77" spans="1:65" x14ac:dyDescent="0.35">
      <c r="A77" s="15" t="s">
        <v>10612</v>
      </c>
      <c r="B77" s="15" t="s">
        <v>10457</v>
      </c>
      <c r="C77" s="15" t="s">
        <v>10573</v>
      </c>
      <c r="D77" s="15" t="s">
        <v>10324</v>
      </c>
      <c r="E77" s="15" t="s">
        <v>10681</v>
      </c>
      <c r="F77" s="15">
        <v>18919</v>
      </c>
      <c r="G77" s="15">
        <v>0.89712986944341666</v>
      </c>
      <c r="H77" s="15">
        <v>200</v>
      </c>
      <c r="I77" s="80">
        <v>557.61658544950842</v>
      </c>
      <c r="J77" s="79">
        <v>1.0600191358057112</v>
      </c>
      <c r="K77" s="15">
        <v>30</v>
      </c>
      <c r="L77" s="15">
        <v>39.724186967451779</v>
      </c>
      <c r="M77" s="15">
        <v>8.7101526363602897</v>
      </c>
      <c r="N77" s="15">
        <v>6.6363886077370218</v>
      </c>
      <c r="O77" s="15">
        <v>0.93254532715920602</v>
      </c>
      <c r="P77" s="15">
        <v>2.6782805323674688</v>
      </c>
      <c r="Q77" s="15">
        <v>3.0255627482103469</v>
      </c>
      <c r="R77" s="15">
        <v>0.52925199146702739</v>
      </c>
      <c r="S77" s="15">
        <v>1.3047471822241368</v>
      </c>
      <c r="T77" s="15">
        <v>1.1915635745191826</v>
      </c>
      <c r="U77" s="15">
        <v>0</v>
      </c>
      <c r="V77" s="15">
        <v>0</v>
      </c>
      <c r="W77" s="15">
        <v>0</v>
      </c>
      <c r="X77" s="15">
        <v>0</v>
      </c>
      <c r="Y77" s="15">
        <v>677.64115083995421</v>
      </c>
      <c r="Z77" s="15">
        <v>0</v>
      </c>
      <c r="AA77" s="15">
        <v>422.23899999999998</v>
      </c>
      <c r="AB77" s="15">
        <v>0</v>
      </c>
      <c r="AC77" s="15">
        <v>255.40215083995423</v>
      </c>
      <c r="AD77" s="15">
        <v>120.02456539044579</v>
      </c>
      <c r="AE77" s="15">
        <v>-0.79366840955416917</v>
      </c>
      <c r="AF77" s="15">
        <v>0</v>
      </c>
      <c r="AG77" s="15">
        <v>0</v>
      </c>
      <c r="AH77" s="15">
        <v>0</v>
      </c>
      <c r="AI77" s="15">
        <v>101.46076874999999</v>
      </c>
      <c r="AJ77" s="15">
        <v>0</v>
      </c>
      <c r="AK77" s="15">
        <v>0</v>
      </c>
      <c r="AL77" s="15">
        <v>0</v>
      </c>
      <c r="AM77" s="15">
        <v>19.357465050000009</v>
      </c>
      <c r="AN77" s="15">
        <v>0.46994344016177941</v>
      </c>
      <c r="AO77" s="15">
        <v>557.61658544950842</v>
      </c>
      <c r="AP77" s="15">
        <v>0</v>
      </c>
      <c r="AQ77" s="15">
        <v>0</v>
      </c>
      <c r="AR77" s="15">
        <v>0</v>
      </c>
      <c r="AS77" s="15">
        <v>0</v>
      </c>
      <c r="AT77" s="15">
        <v>0</v>
      </c>
      <c r="AU77" s="15">
        <v>526.46183646862789</v>
      </c>
      <c r="AV77" s="15">
        <v>122.10317272649331</v>
      </c>
      <c r="AW77" s="15">
        <v>122.10317272649331</v>
      </c>
      <c r="AX77" s="15">
        <v>0</v>
      </c>
      <c r="AY77" s="15">
        <v>0</v>
      </c>
      <c r="AZ77" s="15">
        <v>237.9002689864036</v>
      </c>
      <c r="BA77" s="15">
        <v>76.930878417473096</v>
      </c>
      <c r="BB77" s="15">
        <v>67.070579403721055</v>
      </c>
      <c r="BC77" s="15">
        <v>93.898811165209466</v>
      </c>
      <c r="BD77" s="15">
        <v>0</v>
      </c>
      <c r="BE77" s="15">
        <v>166.45839475573101</v>
      </c>
      <c r="BF77" s="15">
        <v>57.889836296949369</v>
      </c>
      <c r="BG77" s="15">
        <v>1.4723613094253223</v>
      </c>
      <c r="BH77" s="15">
        <v>107.09619714935631</v>
      </c>
      <c r="BI77" s="15">
        <v>0</v>
      </c>
      <c r="BJ77" s="15">
        <v>526.46183646862789</v>
      </c>
      <c r="BK77" s="15">
        <v>646.48640185907368</v>
      </c>
      <c r="BL77" s="15">
        <v>2.3143276165654445</v>
      </c>
      <c r="BM77" s="15">
        <v>1.0600191358057112</v>
      </c>
    </row>
    <row r="78" spans="1:65" x14ac:dyDescent="0.35">
      <c r="A78" s="15" t="s">
        <v>10612</v>
      </c>
      <c r="B78" s="15" t="s">
        <v>10457</v>
      </c>
      <c r="C78" s="15" t="s">
        <v>10573</v>
      </c>
      <c r="D78" s="15" t="s">
        <v>10325</v>
      </c>
      <c r="E78" s="15" t="s">
        <v>10682</v>
      </c>
      <c r="F78" s="15">
        <v>18919</v>
      </c>
      <c r="G78" s="15">
        <v>0.89712986944341666</v>
      </c>
      <c r="H78" s="15">
        <v>200</v>
      </c>
      <c r="I78" s="80">
        <v>602.29340537111352</v>
      </c>
      <c r="J78" s="79">
        <v>0.86456978294350129</v>
      </c>
      <c r="K78" s="15">
        <v>30</v>
      </c>
      <c r="L78" s="15">
        <v>38.415577156879181</v>
      </c>
      <c r="M78" s="15">
        <v>8.0921374064707994</v>
      </c>
      <c r="N78" s="15">
        <v>6.6363886077370218</v>
      </c>
      <c r="O78" s="15">
        <v>1.4871980960223472</v>
      </c>
      <c r="P78" s="15">
        <v>2.3215414627585647</v>
      </c>
      <c r="Q78" s="15">
        <v>2.8276490489561095</v>
      </c>
      <c r="R78" s="15">
        <v>0.52925199146702739</v>
      </c>
      <c r="S78" s="15">
        <v>0</v>
      </c>
      <c r="T78" s="15">
        <v>2.2983970574890824</v>
      </c>
      <c r="U78" s="15">
        <v>0</v>
      </c>
      <c r="V78" s="15">
        <v>0</v>
      </c>
      <c r="W78" s="15">
        <v>0</v>
      </c>
      <c r="X78" s="15">
        <v>0</v>
      </c>
      <c r="Y78" s="15">
        <v>741.09262727861346</v>
      </c>
      <c r="Z78" s="15">
        <v>0</v>
      </c>
      <c r="AA78" s="15">
        <v>422.23899999999998</v>
      </c>
      <c r="AB78" s="15">
        <v>0</v>
      </c>
      <c r="AC78" s="15">
        <v>318.85362727861343</v>
      </c>
      <c r="AD78" s="15">
        <v>138.79922190749994</v>
      </c>
      <c r="AE78" s="15">
        <v>0</v>
      </c>
      <c r="AF78" s="15">
        <v>0</v>
      </c>
      <c r="AG78" s="15">
        <v>0</v>
      </c>
      <c r="AH78" s="15">
        <v>0</v>
      </c>
      <c r="AI78" s="15">
        <v>101.46076874999999</v>
      </c>
      <c r="AJ78" s="15">
        <v>0</v>
      </c>
      <c r="AK78" s="15">
        <v>0</v>
      </c>
      <c r="AL78" s="15">
        <v>0</v>
      </c>
      <c r="AM78" s="15">
        <v>37.338453157500005</v>
      </c>
      <c r="AN78" s="15">
        <v>0.43530701874756333</v>
      </c>
      <c r="AO78" s="15">
        <v>602.29340537111352</v>
      </c>
      <c r="AP78" s="15">
        <v>0</v>
      </c>
      <c r="AQ78" s="15">
        <v>0</v>
      </c>
      <c r="AR78" s="15">
        <v>0</v>
      </c>
      <c r="AS78" s="15">
        <v>0</v>
      </c>
      <c r="AT78" s="15">
        <v>0</v>
      </c>
      <c r="AU78" s="15">
        <v>500.77908412111935</v>
      </c>
      <c r="AV78" s="15">
        <v>134.47456183061067</v>
      </c>
      <c r="AW78" s="15">
        <v>134.47456183061067</v>
      </c>
      <c r="AX78" s="15">
        <v>0</v>
      </c>
      <c r="AY78" s="15">
        <v>0</v>
      </c>
      <c r="AZ78" s="15">
        <v>190.21242442342691</v>
      </c>
      <c r="BA78" s="15">
        <v>76.930878417473096</v>
      </c>
      <c r="BB78" s="15">
        <v>47.200644169147424</v>
      </c>
      <c r="BC78" s="15">
        <v>66.08090183680639</v>
      </c>
      <c r="BD78" s="15">
        <v>0</v>
      </c>
      <c r="BE78" s="15">
        <v>176.09209786708175</v>
      </c>
      <c r="BF78" s="15">
        <v>61.270083002686469</v>
      </c>
      <c r="BG78" s="15">
        <v>1.4723613094253223</v>
      </c>
      <c r="BH78" s="15">
        <v>113.34965355496996</v>
      </c>
      <c r="BI78" s="15">
        <v>0</v>
      </c>
      <c r="BJ78" s="15">
        <v>500.77908412111935</v>
      </c>
      <c r="BK78" s="15">
        <v>639.57830602861929</v>
      </c>
      <c r="BL78" s="15">
        <v>1.6331151167836584</v>
      </c>
      <c r="BM78" s="15">
        <v>0.86456978294350129</v>
      </c>
    </row>
    <row r="79" spans="1:65" s="60" customFormat="1" x14ac:dyDescent="0.35">
      <c r="A79" s="15" t="s">
        <v>10612</v>
      </c>
      <c r="B79" s="15" t="s">
        <v>10457</v>
      </c>
      <c r="C79" s="15" t="s">
        <v>10573</v>
      </c>
      <c r="D79" s="15" t="s">
        <v>10326</v>
      </c>
      <c r="E79" s="15" t="s">
        <v>10683</v>
      </c>
      <c r="F79" s="15">
        <v>18919</v>
      </c>
      <c r="G79" s="15">
        <v>0.89712986944341666</v>
      </c>
      <c r="H79" s="15">
        <v>200</v>
      </c>
      <c r="I79" s="80">
        <v>545.09735380949303</v>
      </c>
      <c r="J79" s="79">
        <v>1.7899696987308025</v>
      </c>
      <c r="K79" s="15">
        <v>30</v>
      </c>
      <c r="L79" s="15">
        <v>37.925031646979804</v>
      </c>
      <c r="M79" s="15">
        <v>8.0141726230779753</v>
      </c>
      <c r="N79" s="15">
        <v>6.6363886077370218</v>
      </c>
      <c r="O79" s="15">
        <v>4.8498711602949411</v>
      </c>
      <c r="P79" s="15">
        <v>1.2214273232539989</v>
      </c>
      <c r="Q79" s="15">
        <v>0.56509012418808247</v>
      </c>
      <c r="R79" s="15">
        <v>0.56509012418808247</v>
      </c>
      <c r="S79" s="15">
        <v>0</v>
      </c>
      <c r="T79" s="15">
        <v>0</v>
      </c>
      <c r="U79" s="15">
        <v>4207.927716448683</v>
      </c>
      <c r="V79" s="15">
        <v>0</v>
      </c>
      <c r="W79" s="15">
        <v>0</v>
      </c>
      <c r="X79" s="15">
        <v>0</v>
      </c>
      <c r="Y79" s="15">
        <v>1029.4879987686545</v>
      </c>
      <c r="Z79" s="15">
        <v>0</v>
      </c>
      <c r="AA79" s="15">
        <v>422.23899999999998</v>
      </c>
      <c r="AB79" s="15">
        <v>0</v>
      </c>
      <c r="AC79" s="15">
        <v>607.24899876865459</v>
      </c>
      <c r="AD79" s="15">
        <v>484.39064495916148</v>
      </c>
      <c r="AE79" s="15">
        <v>0</v>
      </c>
      <c r="AF79" s="15">
        <v>0</v>
      </c>
      <c r="AG79" s="15">
        <v>0</v>
      </c>
      <c r="AH79" s="15">
        <v>361.39028672971892</v>
      </c>
      <c r="AI79" s="15">
        <v>123.00035822944254</v>
      </c>
      <c r="AJ79" s="15">
        <v>0</v>
      </c>
      <c r="AK79" s="15">
        <v>0</v>
      </c>
      <c r="AL79" s="15">
        <v>0</v>
      </c>
      <c r="AM79" s="15">
        <v>0</v>
      </c>
      <c r="AN79" s="15">
        <v>0.79768043412402756</v>
      </c>
      <c r="AO79" s="15">
        <v>545.09735380949303</v>
      </c>
      <c r="AP79" s="15">
        <v>361.39028672971892</v>
      </c>
      <c r="AQ79" s="15">
        <v>0</v>
      </c>
      <c r="AR79" s="15">
        <v>0</v>
      </c>
      <c r="AS79" s="15">
        <v>0</v>
      </c>
      <c r="AT79" s="15">
        <v>361.39028672971892</v>
      </c>
      <c r="AU79" s="15">
        <v>537.17581325711024</v>
      </c>
      <c r="AV79" s="15">
        <v>174.47385567193638</v>
      </c>
      <c r="AW79" s="15">
        <v>174.47385567193638</v>
      </c>
      <c r="AX79" s="15">
        <v>0</v>
      </c>
      <c r="AY79" s="15">
        <v>0</v>
      </c>
      <c r="AZ79" s="15">
        <v>194.55190351062373</v>
      </c>
      <c r="BA79" s="15">
        <v>82.718698010625459</v>
      </c>
      <c r="BB79" s="15">
        <v>46.59716895833261</v>
      </c>
      <c r="BC79" s="15">
        <v>65.236036541665655</v>
      </c>
      <c r="BD79" s="15">
        <v>0</v>
      </c>
      <c r="BE79" s="15">
        <v>168.1500540745501</v>
      </c>
      <c r="BF79" s="15">
        <v>58.444533718691289</v>
      </c>
      <c r="BG79" s="15">
        <v>1.5831329762799129</v>
      </c>
      <c r="BH79" s="15">
        <v>108.12238737957888</v>
      </c>
      <c r="BI79" s="15">
        <v>0</v>
      </c>
      <c r="BJ79" s="15">
        <v>898.56609998682916</v>
      </c>
      <c r="BK79" s="59">
        <v>1382.9567449459905</v>
      </c>
      <c r="BL79" s="59">
        <v>1.6067671550810645</v>
      </c>
      <c r="BM79" s="59">
        <v>1.7899696987308025</v>
      </c>
    </row>
    <row r="80" spans="1:65" s="56" customFormat="1" x14ac:dyDescent="0.35">
      <c r="A80" s="15" t="s">
        <v>10612</v>
      </c>
      <c r="B80" s="15" t="s">
        <v>10457</v>
      </c>
      <c r="C80" s="15" t="s">
        <v>10573</v>
      </c>
      <c r="D80" s="15" t="s">
        <v>10327</v>
      </c>
      <c r="E80" s="15" t="s">
        <v>10684</v>
      </c>
      <c r="F80" s="15">
        <v>18919</v>
      </c>
      <c r="G80" s="15">
        <v>0.89712986944341666</v>
      </c>
      <c r="H80" s="15">
        <v>200</v>
      </c>
      <c r="I80" s="80">
        <v>4575.4622221518466</v>
      </c>
      <c r="J80" s="81">
        <v>-0.92858307850488842</v>
      </c>
      <c r="K80" s="15">
        <v>30</v>
      </c>
      <c r="L80" s="15">
        <v>60.906942170607969</v>
      </c>
      <c r="M80" s="15">
        <v>21.718349903516106</v>
      </c>
      <c r="N80" s="15">
        <v>6.6363886077370218</v>
      </c>
      <c r="O80" s="15">
        <v>4.8498711602949411</v>
      </c>
      <c r="P80" s="15">
        <v>1.2214273232539989</v>
      </c>
      <c r="Q80" s="15">
        <v>0.56509012418808247</v>
      </c>
      <c r="R80" s="15">
        <v>0.56509012418808247</v>
      </c>
      <c r="S80" s="15">
        <v>0</v>
      </c>
      <c r="T80" s="15">
        <v>0</v>
      </c>
      <c r="U80" s="15">
        <v>4207.927716448683</v>
      </c>
      <c r="V80" s="15">
        <v>0</v>
      </c>
      <c r="W80" s="15">
        <v>0</v>
      </c>
      <c r="X80" s="15">
        <v>0</v>
      </c>
      <c r="Y80" s="15">
        <v>1845.9507106864648</v>
      </c>
      <c r="Z80" s="15">
        <v>0</v>
      </c>
      <c r="AA80" s="15">
        <v>422.23899999999998</v>
      </c>
      <c r="AB80" s="15">
        <v>0</v>
      </c>
      <c r="AC80" s="15">
        <v>1423.7117106864648</v>
      </c>
      <c r="AD80" s="15">
        <v>-2729.5115114653818</v>
      </c>
      <c r="AE80" s="15">
        <v>-67.963695090263201</v>
      </c>
      <c r="AF80" s="15">
        <v>0</v>
      </c>
      <c r="AG80" s="15">
        <v>0</v>
      </c>
      <c r="AH80" s="15">
        <v>-2784.5481746045607</v>
      </c>
      <c r="AI80" s="15">
        <v>123.00035822944254</v>
      </c>
      <c r="AJ80" s="15">
        <v>0</v>
      </c>
      <c r="AK80" s="15">
        <v>0</v>
      </c>
      <c r="AL80" s="15">
        <v>0</v>
      </c>
      <c r="AM80" s="15">
        <v>0</v>
      </c>
      <c r="AN80" s="15">
        <v>-1.9171799255267101</v>
      </c>
      <c r="AO80" s="15">
        <v>4575.4622221518466</v>
      </c>
      <c r="AP80" s="15">
        <v>-2852.5118696948239</v>
      </c>
      <c r="AQ80" s="15">
        <v>-67.963695090263201</v>
      </c>
      <c r="AR80" s="15">
        <v>0</v>
      </c>
      <c r="AS80" s="15">
        <v>0</v>
      </c>
      <c r="AT80" s="15">
        <v>-2784.5481746045607</v>
      </c>
      <c r="AU80" s="15">
        <v>2557.0382960180909</v>
      </c>
      <c r="AV80" s="15">
        <v>174.47385567193638</v>
      </c>
      <c r="AW80" s="15">
        <v>174.47385567193638</v>
      </c>
      <c r="AX80" s="15">
        <v>0</v>
      </c>
      <c r="AY80" s="15">
        <v>0</v>
      </c>
      <c r="AZ80" s="15">
        <v>1640.087392532819</v>
      </c>
      <c r="BA80" s="15">
        <v>82.718698010625459</v>
      </c>
      <c r="BB80" s="15">
        <v>648.90362271758067</v>
      </c>
      <c r="BC80" s="15">
        <v>908.46507180461288</v>
      </c>
      <c r="BD80" s="15">
        <v>0</v>
      </c>
      <c r="BE80" s="15">
        <v>742.47704781333539</v>
      </c>
      <c r="BF80" s="15">
        <v>259.96277713580895</v>
      </c>
      <c r="BG80" s="15">
        <v>1.5831329762799129</v>
      </c>
      <c r="BH80" s="15">
        <v>480.93113770124654</v>
      </c>
      <c r="BI80" s="15">
        <v>0</v>
      </c>
      <c r="BJ80" s="15">
        <v>-295.47357367673294</v>
      </c>
      <c r="BK80" s="55">
        <v>-3024.9850851421147</v>
      </c>
      <c r="BL80" s="55">
        <v>-2.9842395507023007</v>
      </c>
      <c r="BM80" s="55">
        <v>-0.92858307850488842</v>
      </c>
    </row>
    <row r="81" spans="1:65" s="60" customFormat="1" x14ac:dyDescent="0.35">
      <c r="A81" s="59" t="s">
        <v>10612</v>
      </c>
      <c r="B81" s="59" t="s">
        <v>10457</v>
      </c>
      <c r="C81" s="59" t="s">
        <v>10666</v>
      </c>
      <c r="D81" s="59" t="s">
        <v>10322</v>
      </c>
      <c r="E81" s="59" t="s">
        <v>10685</v>
      </c>
      <c r="F81" s="59">
        <v>18919</v>
      </c>
      <c r="G81" s="59">
        <v>0.89712986944341666</v>
      </c>
      <c r="H81" s="59">
        <v>200</v>
      </c>
      <c r="I81" s="59">
        <v>492.01241261482943</v>
      </c>
      <c r="J81" s="88">
        <v>1.2583447754417019</v>
      </c>
      <c r="K81" s="59">
        <v>30</v>
      </c>
      <c r="L81" s="59">
        <v>39.528246974342871</v>
      </c>
      <c r="M81" s="59">
        <v>8.6683235982771087</v>
      </c>
      <c r="N81" s="59">
        <v>6.6363886077370218</v>
      </c>
      <c r="O81" s="59">
        <v>1.2369863363448381</v>
      </c>
      <c r="P81" s="59">
        <v>2.5695516005154566</v>
      </c>
      <c r="Q81" s="59">
        <v>2.8298506708767253</v>
      </c>
      <c r="R81" s="59">
        <v>0.52925199146702739</v>
      </c>
      <c r="S81" s="59">
        <v>1.109035104890516</v>
      </c>
      <c r="T81" s="59">
        <v>1.1915635745191826</v>
      </c>
      <c r="U81" s="59">
        <v>0</v>
      </c>
      <c r="V81" s="59">
        <v>0</v>
      </c>
      <c r="W81" s="59">
        <v>201.47345810342748</v>
      </c>
      <c r="X81" s="59">
        <v>0</v>
      </c>
      <c r="Y81" s="59">
        <v>711.1370855944532</v>
      </c>
      <c r="Z81" s="59">
        <v>0</v>
      </c>
      <c r="AA81" s="59">
        <v>422.23899999999998</v>
      </c>
      <c r="AB81" s="59">
        <v>0</v>
      </c>
      <c r="AC81" s="59">
        <v>288.89808559445322</v>
      </c>
      <c r="AD81" s="59">
        <v>219.12467297962377</v>
      </c>
      <c r="AE81" s="59">
        <v>-0.62490944247001956</v>
      </c>
      <c r="AF81" s="59">
        <v>91.383214144028386</v>
      </c>
      <c r="AG81" s="59">
        <v>197.29195325637224</v>
      </c>
      <c r="AH81" s="59">
        <v>0</v>
      </c>
      <c r="AI81" s="59">
        <v>101.46076874999999</v>
      </c>
      <c r="AJ81" s="59">
        <v>0</v>
      </c>
      <c r="AK81" s="59">
        <v>-189.74381877830683</v>
      </c>
      <c r="AL81" s="59">
        <v>0</v>
      </c>
      <c r="AM81" s="59">
        <v>19.357465050000009</v>
      </c>
      <c r="AN81" s="59">
        <v>0.75848433723172759</v>
      </c>
      <c r="AO81" s="59">
        <v>492.01241261482943</v>
      </c>
      <c r="AP81" s="59">
        <v>0</v>
      </c>
      <c r="AQ81" s="59">
        <v>0</v>
      </c>
      <c r="AR81" s="59">
        <v>0</v>
      </c>
      <c r="AS81" s="59">
        <v>0</v>
      </c>
      <c r="AT81" s="59">
        <v>0</v>
      </c>
      <c r="AU81" s="59">
        <v>488.89466148116696</v>
      </c>
      <c r="AV81" s="59">
        <v>125.8448511889483</v>
      </c>
      <c r="AW81" s="59">
        <v>125.8448511889483</v>
      </c>
      <c r="AX81" s="59">
        <v>0</v>
      </c>
      <c r="AY81" s="59">
        <v>0</v>
      </c>
      <c r="AZ81" s="59">
        <v>232.76638106271054</v>
      </c>
      <c r="BA81" s="59">
        <v>76.930878417473096</v>
      </c>
      <c r="BB81" s="59">
        <v>64.931459435515606</v>
      </c>
      <c r="BC81" s="59">
        <v>90.904043209721834</v>
      </c>
      <c r="BD81" s="59">
        <v>0</v>
      </c>
      <c r="BE81" s="59">
        <v>130.2834292295081</v>
      </c>
      <c r="BF81" s="59">
        <v>45.196865936871149</v>
      </c>
      <c r="BG81" s="59">
        <v>1.4723613094253223</v>
      </c>
      <c r="BH81" s="59">
        <v>83.614201983211615</v>
      </c>
      <c r="BI81" s="59">
        <v>0</v>
      </c>
      <c r="BJ81" s="59">
        <v>488.89466148116696</v>
      </c>
      <c r="BK81" s="59">
        <v>708.01933446079079</v>
      </c>
      <c r="BL81" s="59">
        <v>2.1430437920431289</v>
      </c>
      <c r="BM81" s="59">
        <v>1.2583447754417019</v>
      </c>
    </row>
    <row r="82" spans="1:65" x14ac:dyDescent="0.35">
      <c r="A82" s="15" t="s">
        <v>10612</v>
      </c>
      <c r="B82" s="15" t="s">
        <v>10457</v>
      </c>
      <c r="C82" s="15" t="s">
        <v>10574</v>
      </c>
      <c r="D82" s="15" t="s">
        <v>10321</v>
      </c>
      <c r="E82" s="15" t="s">
        <v>10686</v>
      </c>
      <c r="F82" s="15">
        <v>54459</v>
      </c>
      <c r="G82" s="15">
        <v>0.89712693248936548</v>
      </c>
      <c r="H82" s="15">
        <v>200</v>
      </c>
      <c r="I82" s="80">
        <v>729.6934870748579</v>
      </c>
      <c r="J82" s="79">
        <v>1.002318979961534</v>
      </c>
      <c r="K82" s="15">
        <v>30</v>
      </c>
      <c r="L82" s="15">
        <v>87.470075188581319</v>
      </c>
      <c r="M82" s="15">
        <v>17.035361324752408</v>
      </c>
      <c r="N82" s="15">
        <v>19.103013057202716</v>
      </c>
      <c r="O82" s="15">
        <v>3.5606965672907718</v>
      </c>
      <c r="P82" s="15">
        <v>7.3965195043846421</v>
      </c>
      <c r="Q82" s="15">
        <v>8.1457969855273067</v>
      </c>
      <c r="R82" s="15">
        <v>1.5234652913119171</v>
      </c>
      <c r="S82" s="15">
        <v>3.1923856997946394</v>
      </c>
      <c r="T82" s="15">
        <v>3.4299459944207489</v>
      </c>
      <c r="U82" s="15">
        <v>0</v>
      </c>
      <c r="V82" s="15">
        <v>2319.7858524092462</v>
      </c>
      <c r="W82" s="15">
        <v>0</v>
      </c>
      <c r="X82" s="15">
        <v>0</v>
      </c>
      <c r="Y82" s="15">
        <v>890.68201355741712</v>
      </c>
      <c r="Z82" s="15">
        <v>0</v>
      </c>
      <c r="AA82" s="15">
        <v>537.04200000000003</v>
      </c>
      <c r="AB82" s="15">
        <v>53.439</v>
      </c>
      <c r="AC82" s="15">
        <v>300.20101355741713</v>
      </c>
      <c r="AD82" s="15">
        <v>160.98852648255922</v>
      </c>
      <c r="AE82" s="15">
        <v>10.497023283962301</v>
      </c>
      <c r="AF82" s="15">
        <v>0</v>
      </c>
      <c r="AG82" s="15">
        <v>0</v>
      </c>
      <c r="AH82" s="15">
        <v>29.673269398596961</v>
      </c>
      <c r="AI82" s="15">
        <v>101.46076874999999</v>
      </c>
      <c r="AJ82" s="15">
        <v>0</v>
      </c>
      <c r="AK82" s="15">
        <v>0</v>
      </c>
      <c r="AL82" s="15">
        <v>0</v>
      </c>
      <c r="AM82" s="15">
        <v>19.357465050000005</v>
      </c>
      <c r="AN82" s="15">
        <v>0.53626909707874182</v>
      </c>
      <c r="AO82" s="15">
        <v>729.6934870748579</v>
      </c>
      <c r="AP82" s="15">
        <v>40.170292682559264</v>
      </c>
      <c r="AQ82" s="15">
        <v>10.497023283962301</v>
      </c>
      <c r="AR82" s="15">
        <v>0</v>
      </c>
      <c r="AS82" s="15">
        <v>0</v>
      </c>
      <c r="AT82" s="15">
        <v>29.673269398596961</v>
      </c>
      <c r="AU82" s="15">
        <v>630.42782604174499</v>
      </c>
      <c r="AV82" s="15">
        <v>111.98516300818231</v>
      </c>
      <c r="AW82" s="15">
        <v>111.98516300818231</v>
      </c>
      <c r="AX82" s="15">
        <v>0</v>
      </c>
      <c r="AY82" s="15">
        <v>0</v>
      </c>
      <c r="AZ82" s="15">
        <v>374.60374457856307</v>
      </c>
      <c r="BA82" s="15">
        <v>76.930878417473068</v>
      </c>
      <c r="BB82" s="15">
        <v>124.03036090045417</v>
      </c>
      <c r="BC82" s="15">
        <v>173.64250526063583</v>
      </c>
      <c r="BD82" s="15">
        <v>0</v>
      </c>
      <c r="BE82" s="15">
        <v>143.83891845499963</v>
      </c>
      <c r="BF82" s="15">
        <v>49.953177945815547</v>
      </c>
      <c r="BG82" s="15">
        <v>1.4723613094253218</v>
      </c>
      <c r="BH82" s="15">
        <v>92.413379199758751</v>
      </c>
      <c r="BI82" s="15">
        <v>0</v>
      </c>
      <c r="BJ82" s="15">
        <v>670.5981187243043</v>
      </c>
      <c r="BK82" s="15">
        <v>831.58664520686352</v>
      </c>
      <c r="BL82" s="15">
        <v>2.4363196612244611</v>
      </c>
      <c r="BM82" s="15">
        <v>1.002318979961534</v>
      </c>
    </row>
    <row r="83" spans="1:65" x14ac:dyDescent="0.35">
      <c r="A83" s="15" t="s">
        <v>10612</v>
      </c>
      <c r="B83" s="15" t="s">
        <v>10457</v>
      </c>
      <c r="C83" s="15" t="s">
        <v>10574</v>
      </c>
      <c r="D83" s="15" t="s">
        <v>10322</v>
      </c>
      <c r="E83" s="15" t="s">
        <v>10687</v>
      </c>
      <c r="F83" s="15">
        <v>54459</v>
      </c>
      <c r="G83" s="15">
        <v>0.89712693248936548</v>
      </c>
      <c r="H83" s="15">
        <v>200</v>
      </c>
      <c r="I83" s="80">
        <v>689.06210713401254</v>
      </c>
      <c r="J83" s="79">
        <v>1.052125738862141</v>
      </c>
      <c r="K83" s="15">
        <v>30</v>
      </c>
      <c r="L83" s="15">
        <v>87.470075188581319</v>
      </c>
      <c r="M83" s="15">
        <v>17.035361324752408</v>
      </c>
      <c r="N83" s="15">
        <v>19.103013057202716</v>
      </c>
      <c r="O83" s="15">
        <v>3.5606965672907718</v>
      </c>
      <c r="P83" s="15">
        <v>7.3965195043846421</v>
      </c>
      <c r="Q83" s="15">
        <v>8.1457969855273067</v>
      </c>
      <c r="R83" s="15">
        <v>1.5234652913119171</v>
      </c>
      <c r="S83" s="15">
        <v>3.1923856997946394</v>
      </c>
      <c r="T83" s="15">
        <v>3.4299459944207489</v>
      </c>
      <c r="U83" s="15">
        <v>0</v>
      </c>
      <c r="V83" s="15">
        <v>0</v>
      </c>
      <c r="W83" s="15">
        <v>579.94646310231155</v>
      </c>
      <c r="X83" s="15">
        <v>0</v>
      </c>
      <c r="Y83" s="15">
        <v>890.68201355741712</v>
      </c>
      <c r="Z83" s="15">
        <v>0</v>
      </c>
      <c r="AA83" s="15">
        <v>537.04200000000003</v>
      </c>
      <c r="AB83" s="15">
        <v>53.439</v>
      </c>
      <c r="AC83" s="15">
        <v>300.20101355741713</v>
      </c>
      <c r="AD83" s="15">
        <v>201.61990642340459</v>
      </c>
      <c r="AE83" s="15">
        <v>-11.92783740543396</v>
      </c>
      <c r="AF83" s="15">
        <v>31.746537547131162</v>
      </c>
      <c r="AG83" s="15">
        <v>68.539243891429194</v>
      </c>
      <c r="AH83" s="15">
        <v>0</v>
      </c>
      <c r="AI83" s="15">
        <v>101.46076874999999</v>
      </c>
      <c r="AJ83" s="15">
        <v>0</v>
      </c>
      <c r="AK83" s="15">
        <v>-7.5562714097218411</v>
      </c>
      <c r="AL83" s="15">
        <v>0</v>
      </c>
      <c r="AM83" s="15">
        <v>19.357465050000005</v>
      </c>
      <c r="AN83" s="15">
        <v>0.67161634144463778</v>
      </c>
      <c r="AO83" s="15">
        <v>689.06210713401254</v>
      </c>
      <c r="AP83" s="15">
        <v>0</v>
      </c>
      <c r="AQ83" s="15">
        <v>0</v>
      </c>
      <c r="AR83" s="15">
        <v>0</v>
      </c>
      <c r="AS83" s="15">
        <v>0</v>
      </c>
      <c r="AT83" s="15">
        <v>0</v>
      </c>
      <c r="AU83" s="15">
        <v>623.56108572428911</v>
      </c>
      <c r="AV83" s="15">
        <v>111.98516300818231</v>
      </c>
      <c r="AW83" s="15">
        <v>111.98516300818231</v>
      </c>
      <c r="AX83" s="15">
        <v>0</v>
      </c>
      <c r="AY83" s="15">
        <v>0</v>
      </c>
      <c r="AZ83" s="15">
        <v>374.60374457856307</v>
      </c>
      <c r="BA83" s="15">
        <v>76.930878417473068</v>
      </c>
      <c r="BB83" s="15">
        <v>124.03036090045417</v>
      </c>
      <c r="BC83" s="15">
        <v>173.64250526063583</v>
      </c>
      <c r="BD83" s="15">
        <v>0</v>
      </c>
      <c r="BE83" s="15">
        <v>136.97217813754378</v>
      </c>
      <c r="BF83" s="15">
        <v>47.543795378287179</v>
      </c>
      <c r="BG83" s="15">
        <v>1.4723613094253218</v>
      </c>
      <c r="BH83" s="15">
        <v>87.956021449831283</v>
      </c>
      <c r="BI83" s="15">
        <v>0</v>
      </c>
      <c r="BJ83" s="15">
        <v>623.56108572428911</v>
      </c>
      <c r="BK83" s="15">
        <v>825.1809921476937</v>
      </c>
      <c r="BL83" s="15">
        <v>2.4149817817041295</v>
      </c>
      <c r="BM83" s="15">
        <v>1.052125738862141</v>
      </c>
    </row>
    <row r="84" spans="1:65" x14ac:dyDescent="0.35">
      <c r="A84" s="15" t="s">
        <v>10612</v>
      </c>
      <c r="B84" s="15" t="s">
        <v>10457</v>
      </c>
      <c r="C84" s="15" t="s">
        <v>10574</v>
      </c>
      <c r="D84" s="15" t="s">
        <v>10323</v>
      </c>
      <c r="E84" s="15" t="s">
        <v>10688</v>
      </c>
      <c r="F84" s="15">
        <v>54459</v>
      </c>
      <c r="G84" s="15">
        <v>0.89712693248936548</v>
      </c>
      <c r="H84" s="15">
        <v>200</v>
      </c>
      <c r="I84" s="80">
        <v>714.17511491724167</v>
      </c>
      <c r="J84" s="79">
        <v>0.99997560786586448</v>
      </c>
      <c r="K84" s="15">
        <v>30</v>
      </c>
      <c r="L84" s="15">
        <v>87.470075188581319</v>
      </c>
      <c r="M84" s="15">
        <v>17.035361324752408</v>
      </c>
      <c r="N84" s="15">
        <v>19.103013057202716</v>
      </c>
      <c r="O84" s="15">
        <v>3.5606965672907718</v>
      </c>
      <c r="P84" s="15">
        <v>7.3965195043846421</v>
      </c>
      <c r="Q84" s="15">
        <v>8.1457969855273067</v>
      </c>
      <c r="R84" s="15">
        <v>1.5234652913119171</v>
      </c>
      <c r="S84" s="15">
        <v>3.1923856997946394</v>
      </c>
      <c r="T84" s="15">
        <v>3.4299459944207489</v>
      </c>
      <c r="U84" s="15">
        <v>0</v>
      </c>
      <c r="V84" s="15">
        <v>0</v>
      </c>
      <c r="W84" s="15">
        <v>0</v>
      </c>
      <c r="X84" s="15">
        <v>579946.46310231159</v>
      </c>
      <c r="Y84" s="15">
        <v>890.68201355741712</v>
      </c>
      <c r="Z84" s="15">
        <v>0</v>
      </c>
      <c r="AA84" s="15">
        <v>537.04200000000003</v>
      </c>
      <c r="AB84" s="15">
        <v>53.439</v>
      </c>
      <c r="AC84" s="15">
        <v>300.20101355741713</v>
      </c>
      <c r="AD84" s="15">
        <v>176.50689864017545</v>
      </c>
      <c r="AE84" s="15">
        <v>-11.92783740543396</v>
      </c>
      <c r="AF84" s="15">
        <v>0</v>
      </c>
      <c r="AG84" s="15">
        <v>0</v>
      </c>
      <c r="AH84" s="15">
        <v>0</v>
      </c>
      <c r="AI84" s="15">
        <v>101.46076874999999</v>
      </c>
      <c r="AJ84" s="15">
        <v>0</v>
      </c>
      <c r="AK84" s="15">
        <v>67.616502245609439</v>
      </c>
      <c r="AL84" s="15">
        <v>0</v>
      </c>
      <c r="AM84" s="15">
        <v>19.357465050000005</v>
      </c>
      <c r="AN84" s="15">
        <v>0.58796236744356078</v>
      </c>
      <c r="AO84" s="15">
        <v>714.17511491724167</v>
      </c>
      <c r="AP84" s="15">
        <v>0</v>
      </c>
      <c r="AQ84" s="15">
        <v>0</v>
      </c>
      <c r="AR84" s="15">
        <v>0</v>
      </c>
      <c r="AS84" s="15">
        <v>0</v>
      </c>
      <c r="AT84" s="15">
        <v>0</v>
      </c>
      <c r="AU84" s="15">
        <v>637.85180957928401</v>
      </c>
      <c r="AV84" s="15">
        <v>111.98516300818231</v>
      </c>
      <c r="AW84" s="15">
        <v>111.98516300818231</v>
      </c>
      <c r="AX84" s="15">
        <v>0</v>
      </c>
      <c r="AY84" s="15">
        <v>0</v>
      </c>
      <c r="AZ84" s="15">
        <v>374.60374457856307</v>
      </c>
      <c r="BA84" s="15">
        <v>76.930878417473068</v>
      </c>
      <c r="BB84" s="15">
        <v>124.03036090045417</v>
      </c>
      <c r="BC84" s="15">
        <v>173.64250526063583</v>
      </c>
      <c r="BD84" s="15">
        <v>0</v>
      </c>
      <c r="BE84" s="15">
        <v>151.26290199253867</v>
      </c>
      <c r="BF84" s="15">
        <v>52.558084450215212</v>
      </c>
      <c r="BG84" s="15">
        <v>1.4723613094253218</v>
      </c>
      <c r="BH84" s="15">
        <v>97.232456232898144</v>
      </c>
      <c r="BI84" s="15">
        <v>0</v>
      </c>
      <c r="BJ84" s="15">
        <v>637.85180957928401</v>
      </c>
      <c r="BK84" s="15">
        <v>814.35870821945946</v>
      </c>
      <c r="BL84" s="15">
        <v>2.3789316571559507</v>
      </c>
      <c r="BM84" s="15">
        <v>0.99997560786586448</v>
      </c>
    </row>
    <row r="85" spans="1:65" x14ac:dyDescent="0.35">
      <c r="A85" s="15" t="s">
        <v>10612</v>
      </c>
      <c r="B85" s="15" t="s">
        <v>10457</v>
      </c>
      <c r="C85" s="15" t="s">
        <v>10574</v>
      </c>
      <c r="D85" s="15" t="s">
        <v>10324</v>
      </c>
      <c r="E85" s="15" t="s">
        <v>10689</v>
      </c>
      <c r="F85" s="15">
        <v>54459</v>
      </c>
      <c r="G85" s="15">
        <v>0.89712693248936548</v>
      </c>
      <c r="H85" s="15">
        <v>200</v>
      </c>
      <c r="I85" s="80">
        <v>750.26263446045323</v>
      </c>
      <c r="J85" s="79">
        <v>0.89953865188337334</v>
      </c>
      <c r="K85" s="15">
        <v>30</v>
      </c>
      <c r="L85" s="15">
        <v>88.033998995733285</v>
      </c>
      <c r="M85" s="15">
        <v>17.171380333616245</v>
      </c>
      <c r="N85" s="15">
        <v>19.103013057202716</v>
      </c>
      <c r="O85" s="15">
        <v>2.6843553947981253</v>
      </c>
      <c r="P85" s="15">
        <v>7.7094984945605871</v>
      </c>
      <c r="Q85" s="15">
        <v>8.709159167844005</v>
      </c>
      <c r="R85" s="15">
        <v>1.5234652913119171</v>
      </c>
      <c r="S85" s="15">
        <v>3.7557478821113399</v>
      </c>
      <c r="T85" s="15">
        <v>3.4299459944207489</v>
      </c>
      <c r="U85" s="15">
        <v>0</v>
      </c>
      <c r="V85" s="15">
        <v>0</v>
      </c>
      <c r="W85" s="15">
        <v>0</v>
      </c>
      <c r="X85" s="15">
        <v>0</v>
      </c>
      <c r="Y85" s="15">
        <v>858.08517534542671</v>
      </c>
      <c r="Z85" s="15">
        <v>0</v>
      </c>
      <c r="AA85" s="15">
        <v>537.04200000000003</v>
      </c>
      <c r="AB85" s="15">
        <v>53.439</v>
      </c>
      <c r="AC85" s="15">
        <v>267.60417534542665</v>
      </c>
      <c r="AD85" s="15">
        <v>107.82254088497348</v>
      </c>
      <c r="AE85" s="15">
        <v>-12.995692915026606</v>
      </c>
      <c r="AF85" s="15">
        <v>0</v>
      </c>
      <c r="AG85" s="15">
        <v>0</v>
      </c>
      <c r="AH85" s="15">
        <v>0</v>
      </c>
      <c r="AI85" s="15">
        <v>101.46076874999999</v>
      </c>
      <c r="AJ85" s="15">
        <v>0</v>
      </c>
      <c r="AK85" s="15">
        <v>0</v>
      </c>
      <c r="AL85" s="15">
        <v>0</v>
      </c>
      <c r="AM85" s="15">
        <v>19.357465050000005</v>
      </c>
      <c r="AN85" s="15">
        <v>0.40291800658862986</v>
      </c>
      <c r="AO85" s="15">
        <v>750.26263446045323</v>
      </c>
      <c r="AP85" s="15">
        <v>0</v>
      </c>
      <c r="AQ85" s="15">
        <v>0</v>
      </c>
      <c r="AR85" s="15">
        <v>0</v>
      </c>
      <c r="AS85" s="15">
        <v>0</v>
      </c>
      <c r="AT85" s="15">
        <v>0</v>
      </c>
      <c r="AU85" s="15">
        <v>634.67187322147743</v>
      </c>
      <c r="AV85" s="15">
        <v>108.29938809739615</v>
      </c>
      <c r="AW85" s="15">
        <v>108.29938809739615</v>
      </c>
      <c r="AX85" s="15">
        <v>0</v>
      </c>
      <c r="AY85" s="15">
        <v>0</v>
      </c>
      <c r="AZ85" s="15">
        <v>379.73763250225613</v>
      </c>
      <c r="BA85" s="15">
        <v>76.930878417473068</v>
      </c>
      <c r="BB85" s="15">
        <v>126.1694808686596</v>
      </c>
      <c r="BC85" s="15">
        <v>176.63727321612345</v>
      </c>
      <c r="BD85" s="15">
        <v>0</v>
      </c>
      <c r="BE85" s="15">
        <v>146.63485262182519</v>
      </c>
      <c r="BF85" s="15">
        <v>50.934207478035042</v>
      </c>
      <c r="BG85" s="15">
        <v>1.4723613094253218</v>
      </c>
      <c r="BH85" s="15">
        <v>94.228283834364817</v>
      </c>
      <c r="BI85" s="15">
        <v>0</v>
      </c>
      <c r="BJ85" s="15">
        <v>634.67187322147743</v>
      </c>
      <c r="BK85" s="15">
        <v>742.4944141064509</v>
      </c>
      <c r="BL85" s="15">
        <v>2.5219720054437409</v>
      </c>
      <c r="BM85" s="15">
        <v>0.89953865188337334</v>
      </c>
    </row>
    <row r="86" spans="1:65" x14ac:dyDescent="0.35">
      <c r="A86" s="15" t="s">
        <v>10612</v>
      </c>
      <c r="B86" s="15" t="s">
        <v>10457</v>
      </c>
      <c r="C86" s="15" t="s">
        <v>10574</v>
      </c>
      <c r="D86" s="15" t="s">
        <v>10325</v>
      </c>
      <c r="E86" s="15" t="s">
        <v>10690</v>
      </c>
      <c r="F86" s="15">
        <v>54459</v>
      </c>
      <c r="G86" s="15">
        <v>0.89712693248936548</v>
      </c>
      <c r="H86" s="15">
        <v>200</v>
      </c>
      <c r="I86" s="80">
        <v>794.93945438205833</v>
      </c>
      <c r="J86" s="79">
        <v>0.77153419572197224</v>
      </c>
      <c r="K86" s="15">
        <v>30</v>
      </c>
      <c r="L86" s="15">
        <v>84.269111092645687</v>
      </c>
      <c r="M86" s="15">
        <v>16.027300754722333</v>
      </c>
      <c r="N86" s="15">
        <v>19.103013057202716</v>
      </c>
      <c r="O86" s="15">
        <v>4.2809374685864858</v>
      </c>
      <c r="P86" s="15">
        <v>6.6826160276706554</v>
      </c>
      <c r="Q86" s="15">
        <v>8.1394595609455749</v>
      </c>
      <c r="R86" s="15">
        <v>1.5234652913119171</v>
      </c>
      <c r="S86" s="15">
        <v>0</v>
      </c>
      <c r="T86" s="15">
        <v>6.6159942696336591</v>
      </c>
      <c r="U86" s="15">
        <v>0</v>
      </c>
      <c r="V86" s="15">
        <v>0</v>
      </c>
      <c r="W86" s="15">
        <v>0</v>
      </c>
      <c r="X86" s="15">
        <v>0</v>
      </c>
      <c r="Y86" s="15">
        <v>921.53665178408585</v>
      </c>
      <c r="Z86" s="15">
        <v>0</v>
      </c>
      <c r="AA86" s="15">
        <v>537.04200000000003</v>
      </c>
      <c r="AB86" s="15">
        <v>53.439</v>
      </c>
      <c r="AC86" s="15">
        <v>331.05565178408585</v>
      </c>
      <c r="AD86" s="15">
        <v>126.59719740202752</v>
      </c>
      <c r="AE86" s="15">
        <v>-12.202024505472433</v>
      </c>
      <c r="AF86" s="15">
        <v>0</v>
      </c>
      <c r="AG86" s="15">
        <v>0</v>
      </c>
      <c r="AH86" s="15">
        <v>0</v>
      </c>
      <c r="AI86" s="15">
        <v>101.46076874999999</v>
      </c>
      <c r="AJ86" s="15">
        <v>0</v>
      </c>
      <c r="AK86" s="15">
        <v>0</v>
      </c>
      <c r="AL86" s="15">
        <v>0</v>
      </c>
      <c r="AM86" s="15">
        <v>37.338453157499998</v>
      </c>
      <c r="AN86" s="15">
        <v>0.38240457977317382</v>
      </c>
      <c r="AO86" s="15">
        <v>794.93945438205833</v>
      </c>
      <c r="AP86" s="15">
        <v>0</v>
      </c>
      <c r="AQ86" s="15">
        <v>0</v>
      </c>
      <c r="AR86" s="15">
        <v>0</v>
      </c>
      <c r="AS86" s="15">
        <v>0</v>
      </c>
      <c r="AT86" s="15">
        <v>0</v>
      </c>
      <c r="AU86" s="15">
        <v>617.78142696638315</v>
      </c>
      <c r="AV86" s="15">
        <v>120.6095913760284</v>
      </c>
      <c r="AW86" s="15">
        <v>120.6095913760284</v>
      </c>
      <c r="AX86" s="15">
        <v>0</v>
      </c>
      <c r="AY86" s="15">
        <v>0</v>
      </c>
      <c r="AZ86" s="15">
        <v>341.15131759619817</v>
      </c>
      <c r="BA86" s="15">
        <v>76.930878417473068</v>
      </c>
      <c r="BB86" s="15">
        <v>110.09184965780213</v>
      </c>
      <c r="BC86" s="15">
        <v>154.12858952092299</v>
      </c>
      <c r="BD86" s="15">
        <v>0</v>
      </c>
      <c r="BE86" s="15">
        <v>156.02051799415662</v>
      </c>
      <c r="BF86" s="15">
        <v>54.227423398151338</v>
      </c>
      <c r="BG86" s="15">
        <v>1.4723613094253218</v>
      </c>
      <c r="BH86" s="15">
        <v>100.32073328657997</v>
      </c>
      <c r="BI86" s="15">
        <v>0</v>
      </c>
      <c r="BJ86" s="15">
        <v>617.78142696638315</v>
      </c>
      <c r="BK86" s="15">
        <v>744.37862436841067</v>
      </c>
      <c r="BL86" s="15">
        <v>1.85262800764487</v>
      </c>
      <c r="BM86" s="15">
        <v>0.77153419572197224</v>
      </c>
    </row>
    <row r="87" spans="1:65" x14ac:dyDescent="0.35">
      <c r="A87" s="15" t="s">
        <v>10612</v>
      </c>
      <c r="B87" s="15" t="s">
        <v>10457</v>
      </c>
      <c r="C87" s="15" t="s">
        <v>10574</v>
      </c>
      <c r="D87" s="15" t="s">
        <v>10326</v>
      </c>
      <c r="E87" s="15" t="s">
        <v>10691</v>
      </c>
      <c r="F87" s="15">
        <v>54459</v>
      </c>
      <c r="G87" s="15">
        <v>0.89712693248936548</v>
      </c>
      <c r="H87" s="15">
        <v>200</v>
      </c>
      <c r="I87" s="80">
        <v>731.37573264712523</v>
      </c>
      <c r="J87" s="79">
        <v>1.4546459434779151</v>
      </c>
      <c r="K87" s="15">
        <v>30</v>
      </c>
      <c r="L87" s="15">
        <v>82.857063391003408</v>
      </c>
      <c r="M87" s="15">
        <v>15.644904941206276</v>
      </c>
      <c r="N87" s="15">
        <v>19.103013057202716</v>
      </c>
      <c r="O87" s="15">
        <v>13.960477238004509</v>
      </c>
      <c r="P87" s="15">
        <v>3.515909553178159</v>
      </c>
      <c r="Q87" s="15">
        <v>1.6266262660200466</v>
      </c>
      <c r="R87" s="15">
        <v>1.6266262660200466</v>
      </c>
      <c r="S87" s="15">
        <v>0</v>
      </c>
      <c r="T87" s="15">
        <v>0</v>
      </c>
      <c r="U87" s="15">
        <v>12112.626740599357</v>
      </c>
      <c r="V87" s="15">
        <v>0</v>
      </c>
      <c r="W87" s="15">
        <v>0</v>
      </c>
      <c r="X87" s="15">
        <v>0</v>
      </c>
      <c r="Y87" s="15">
        <v>1203.8968807172669</v>
      </c>
      <c r="Z87" s="15">
        <v>0</v>
      </c>
      <c r="AA87" s="15">
        <v>537.04200000000003</v>
      </c>
      <c r="AB87" s="15">
        <v>53.439</v>
      </c>
      <c r="AC87" s="15">
        <v>613.41588071726687</v>
      </c>
      <c r="AD87" s="15">
        <v>472.52114807014163</v>
      </c>
      <c r="AE87" s="15">
        <v>6.1668819486122839</v>
      </c>
      <c r="AF87" s="15">
        <v>0</v>
      </c>
      <c r="AG87" s="15">
        <v>0</v>
      </c>
      <c r="AH87" s="15">
        <v>343.35390789208714</v>
      </c>
      <c r="AI87" s="15">
        <v>123.00035822944253</v>
      </c>
      <c r="AJ87" s="15">
        <v>0</v>
      </c>
      <c r="AK87" s="15">
        <v>0</v>
      </c>
      <c r="AL87" s="15">
        <v>0</v>
      </c>
      <c r="AM87" s="15">
        <v>0</v>
      </c>
      <c r="AN87" s="15">
        <v>0.77031124058546196</v>
      </c>
      <c r="AO87" s="15">
        <v>731.37573264712523</v>
      </c>
      <c r="AP87" s="15">
        <v>349.52078984069942</v>
      </c>
      <c r="AQ87" s="15">
        <v>6.1668819486122839</v>
      </c>
      <c r="AR87" s="15">
        <v>0</v>
      </c>
      <c r="AS87" s="15">
        <v>0</v>
      </c>
      <c r="AT87" s="15">
        <v>343.35390789208714</v>
      </c>
      <c r="AU87" s="15">
        <v>655.26668545975463</v>
      </c>
      <c r="AV87" s="15">
        <v>163.25494908828856</v>
      </c>
      <c r="AW87" s="15">
        <v>163.25494908828856</v>
      </c>
      <c r="AX87" s="15">
        <v>0</v>
      </c>
      <c r="AY87" s="15">
        <v>0</v>
      </c>
      <c r="AZ87" s="15">
        <v>345.49079668339505</v>
      </c>
      <c r="BA87" s="15">
        <v>82.718698010625417</v>
      </c>
      <c r="BB87" s="15">
        <v>109.48837444698732</v>
      </c>
      <c r="BC87" s="15">
        <v>153.28372422578227</v>
      </c>
      <c r="BD87" s="15">
        <v>0</v>
      </c>
      <c r="BE87" s="15">
        <v>146.520939688071</v>
      </c>
      <c r="BF87" s="15">
        <v>50.855370776067048</v>
      </c>
      <c r="BG87" s="15">
        <v>1.5831329762799125</v>
      </c>
      <c r="BH87" s="15">
        <v>94.082435935724035</v>
      </c>
      <c r="BI87" s="15">
        <v>0</v>
      </c>
      <c r="BJ87" s="15">
        <v>1004.787475300454</v>
      </c>
      <c r="BK87" s="15">
        <v>1477.3086233705958</v>
      </c>
      <c r="BL87" s="15">
        <v>1.7343743063993056</v>
      </c>
      <c r="BM87" s="15">
        <v>1.4546459434779151</v>
      </c>
    </row>
    <row r="88" spans="1:65" s="60" customFormat="1" x14ac:dyDescent="0.35">
      <c r="A88" s="15" t="s">
        <v>10612</v>
      </c>
      <c r="B88" s="15" t="s">
        <v>10457</v>
      </c>
      <c r="C88" s="15" t="s">
        <v>10574</v>
      </c>
      <c r="D88" s="15" t="s">
        <v>10327</v>
      </c>
      <c r="E88" s="15" t="s">
        <v>10692</v>
      </c>
      <c r="F88" s="15">
        <v>54459</v>
      </c>
      <c r="G88" s="15">
        <v>0.89712693248936548</v>
      </c>
      <c r="H88" s="15">
        <v>200</v>
      </c>
      <c r="I88" s="80">
        <v>1819.2181626276911</v>
      </c>
      <c r="J88" s="81">
        <v>0.11891017171583931</v>
      </c>
      <c r="K88" s="15">
        <v>30</v>
      </c>
      <c r="L88" s="15">
        <v>80.666865025059153</v>
      </c>
      <c r="M88" s="15">
        <v>23.470573126375108</v>
      </c>
      <c r="N88" s="15">
        <v>19.103013057202716</v>
      </c>
      <c r="O88" s="15">
        <v>13.960477238004509</v>
      </c>
      <c r="P88" s="15">
        <v>3.515909553178159</v>
      </c>
      <c r="Q88" s="15">
        <v>1.6266262660200466</v>
      </c>
      <c r="R88" s="15">
        <v>1.6266262660200466</v>
      </c>
      <c r="S88" s="15">
        <v>0</v>
      </c>
      <c r="T88" s="15">
        <v>0</v>
      </c>
      <c r="U88" s="15">
        <v>12112.626740599357</v>
      </c>
      <c r="V88" s="15">
        <v>0</v>
      </c>
      <c r="W88" s="15">
        <v>0</v>
      </c>
      <c r="X88" s="15">
        <v>0</v>
      </c>
      <c r="Y88" s="15">
        <v>2089.5134954909827</v>
      </c>
      <c r="Z88" s="15">
        <v>0</v>
      </c>
      <c r="AA88" s="15">
        <v>537.04200000000003</v>
      </c>
      <c r="AB88" s="15">
        <v>53.439</v>
      </c>
      <c r="AC88" s="15">
        <v>1499.0324954909825</v>
      </c>
      <c r="AD88" s="15">
        <v>270.29533286329161</v>
      </c>
      <c r="AE88" s="15">
        <v>7.3570897142545677</v>
      </c>
      <c r="AF88" s="15">
        <v>0</v>
      </c>
      <c r="AG88" s="15">
        <v>0</v>
      </c>
      <c r="AH88" s="15">
        <v>139.93788491959421</v>
      </c>
      <c r="AI88" s="15">
        <v>123.00035822944253</v>
      </c>
      <c r="AJ88" s="15">
        <v>0</v>
      </c>
      <c r="AK88" s="15">
        <v>0</v>
      </c>
      <c r="AL88" s="15">
        <v>0</v>
      </c>
      <c r="AM88" s="15">
        <v>0</v>
      </c>
      <c r="AN88" s="15">
        <v>0.18031319112582744</v>
      </c>
      <c r="AO88" s="15">
        <v>1819.2181626276911</v>
      </c>
      <c r="AP88" s="15">
        <v>147.29497463384877</v>
      </c>
      <c r="AQ88" s="15">
        <v>7.3570897142545677</v>
      </c>
      <c r="AR88" s="15">
        <v>0</v>
      </c>
      <c r="AS88" s="15">
        <v>0</v>
      </c>
      <c r="AT88" s="15">
        <v>139.93788491959421</v>
      </c>
      <c r="AU88" s="15">
        <v>1097.7657321004745</v>
      </c>
      <c r="AV88" s="15">
        <v>163.25494908828856</v>
      </c>
      <c r="AW88" s="15">
        <v>163.25494908828856</v>
      </c>
      <c r="AX88" s="15">
        <v>0</v>
      </c>
      <c r="AY88" s="15">
        <v>0</v>
      </c>
      <c r="AZ88" s="15">
        <v>632.9722970518842</v>
      </c>
      <c r="BA88" s="15">
        <v>82.718698010625417</v>
      </c>
      <c r="BB88" s="15">
        <v>229.27233293385785</v>
      </c>
      <c r="BC88" s="15">
        <v>320.98126610740098</v>
      </c>
      <c r="BD88" s="15">
        <v>0</v>
      </c>
      <c r="BE88" s="15">
        <v>301.53848596030161</v>
      </c>
      <c r="BF88" s="15">
        <v>105.24749227509534</v>
      </c>
      <c r="BG88" s="15">
        <v>1.5831329762799125</v>
      </c>
      <c r="BH88" s="15">
        <v>194.70786070892635</v>
      </c>
      <c r="BI88" s="15">
        <v>0</v>
      </c>
      <c r="BJ88" s="15">
        <v>1245.0607067343233</v>
      </c>
      <c r="BK88" s="59">
        <v>1515.3560395976149</v>
      </c>
      <c r="BL88" s="59">
        <v>0.14430877566518618</v>
      </c>
      <c r="BM88" s="59">
        <v>0.11891017171583931</v>
      </c>
    </row>
    <row r="89" spans="1:65" s="60" customFormat="1" x14ac:dyDescent="0.35">
      <c r="A89" s="59" t="s">
        <v>10612</v>
      </c>
      <c r="B89" s="59" t="s">
        <v>10457</v>
      </c>
      <c r="C89" s="59" t="s">
        <v>10675</v>
      </c>
      <c r="D89" s="59" t="s">
        <v>10322</v>
      </c>
      <c r="E89" s="59" t="s">
        <v>10693</v>
      </c>
      <c r="F89" s="59">
        <v>54459</v>
      </c>
      <c r="G89" s="59">
        <v>0.89712693248936548</v>
      </c>
      <c r="H89" s="59">
        <v>200</v>
      </c>
      <c r="I89" s="59">
        <v>689.06210713401254</v>
      </c>
      <c r="J89" s="88">
        <v>1.052125738862141</v>
      </c>
      <c r="K89" s="59">
        <v>30</v>
      </c>
      <c r="L89" s="59">
        <v>87.470075188581319</v>
      </c>
      <c r="M89" s="59">
        <v>17.035361324752408</v>
      </c>
      <c r="N89" s="59">
        <v>19.103013057202716</v>
      </c>
      <c r="O89" s="59">
        <v>3.5606965672907718</v>
      </c>
      <c r="P89" s="59">
        <v>7.3965195043846421</v>
      </c>
      <c r="Q89" s="59">
        <v>8.1457969855273067</v>
      </c>
      <c r="R89" s="59">
        <v>1.5234652913119171</v>
      </c>
      <c r="S89" s="59">
        <v>3.1923856997946394</v>
      </c>
      <c r="T89" s="59">
        <v>3.4299459944207489</v>
      </c>
      <c r="U89" s="59">
        <v>0</v>
      </c>
      <c r="V89" s="59">
        <v>0</v>
      </c>
      <c r="W89" s="59">
        <v>579.94646310231155</v>
      </c>
      <c r="X89" s="59">
        <v>0</v>
      </c>
      <c r="Y89" s="59">
        <v>890.68201355741712</v>
      </c>
      <c r="Z89" s="59">
        <v>0</v>
      </c>
      <c r="AA89" s="59">
        <v>537.04200000000003</v>
      </c>
      <c r="AB89" s="59">
        <v>53.439</v>
      </c>
      <c r="AC89" s="59">
        <v>300.20101355741713</v>
      </c>
      <c r="AD89" s="59">
        <v>201.61990642340459</v>
      </c>
      <c r="AE89" s="59">
        <v>-11.92783740543396</v>
      </c>
      <c r="AF89" s="59">
        <v>31.746537547131162</v>
      </c>
      <c r="AG89" s="59">
        <v>68.539243891429194</v>
      </c>
      <c r="AH89" s="59">
        <v>0</v>
      </c>
      <c r="AI89" s="59">
        <v>101.46076874999999</v>
      </c>
      <c r="AJ89" s="59">
        <v>0</v>
      </c>
      <c r="AK89" s="59">
        <v>-7.5562714097218411</v>
      </c>
      <c r="AL89" s="59">
        <v>0</v>
      </c>
      <c r="AM89" s="59">
        <v>19.357465050000005</v>
      </c>
      <c r="AN89" s="59">
        <v>0.67161634144463778</v>
      </c>
      <c r="AO89" s="59">
        <v>689.06210713401254</v>
      </c>
      <c r="AP89" s="59">
        <v>0</v>
      </c>
      <c r="AQ89" s="59">
        <v>0</v>
      </c>
      <c r="AR89" s="59">
        <v>0</v>
      </c>
      <c r="AS89" s="59">
        <v>0</v>
      </c>
      <c r="AT89" s="59">
        <v>0</v>
      </c>
      <c r="AU89" s="59">
        <v>623.56108572428911</v>
      </c>
      <c r="AV89" s="59">
        <v>111.98516300818231</v>
      </c>
      <c r="AW89" s="59">
        <v>111.98516300818231</v>
      </c>
      <c r="AX89" s="59">
        <v>0</v>
      </c>
      <c r="AY89" s="59">
        <v>0</v>
      </c>
      <c r="AZ89" s="59">
        <v>374.60374457856307</v>
      </c>
      <c r="BA89" s="59">
        <v>76.930878417473068</v>
      </c>
      <c r="BB89" s="59">
        <v>124.03036090045417</v>
      </c>
      <c r="BC89" s="59">
        <v>173.64250526063583</v>
      </c>
      <c r="BD89" s="59">
        <v>0</v>
      </c>
      <c r="BE89" s="59">
        <v>136.97217813754378</v>
      </c>
      <c r="BF89" s="59">
        <v>47.543795378287179</v>
      </c>
      <c r="BG89" s="59">
        <v>1.4723613094253218</v>
      </c>
      <c r="BH89" s="59">
        <v>87.956021449831283</v>
      </c>
      <c r="BI89" s="59">
        <v>0</v>
      </c>
      <c r="BJ89" s="59">
        <v>623.56108572428911</v>
      </c>
      <c r="BK89" s="59">
        <v>825.1809921476937</v>
      </c>
      <c r="BL89" s="59">
        <v>2.4149817817041295</v>
      </c>
      <c r="BM89" s="59">
        <v>1.052125738862141</v>
      </c>
    </row>
    <row r="90" spans="1:65" s="56" customFormat="1" x14ac:dyDescent="0.35">
      <c r="A90" s="55" t="s">
        <v>10612</v>
      </c>
      <c r="B90" s="55" t="s">
        <v>10677</v>
      </c>
      <c r="C90" s="55" t="s">
        <v>9780</v>
      </c>
      <c r="D90" s="55" t="s">
        <v>9780</v>
      </c>
      <c r="E90" s="55" t="s">
        <v>10014</v>
      </c>
      <c r="F90" s="55">
        <f>F81</f>
        <v>18919</v>
      </c>
      <c r="G90" s="55">
        <f>G81</f>
        <v>0.89712986944341666</v>
      </c>
      <c r="H90" s="55">
        <f>(H81*N81+H89*N89)/(N81+N89)</f>
        <v>200</v>
      </c>
      <c r="I90" s="55">
        <f>(I81*N81+I89*N89)/(N81+N89)</f>
        <v>638.25679452853672</v>
      </c>
      <c r="J90" s="89">
        <f>(J81*N81+J89*N89)/(N81+N89)</f>
        <v>1.1052951824595512</v>
      </c>
      <c r="K90" s="55">
        <f>K81</f>
        <v>30</v>
      </c>
      <c r="L90" s="55">
        <f t="shared" ref="L90:W90" si="7">L81+L89</f>
        <v>126.99832216292418</v>
      </c>
      <c r="M90" s="55">
        <f t="shared" si="7"/>
        <v>25.703684923029517</v>
      </c>
      <c r="N90" s="55">
        <f t="shared" si="7"/>
        <v>25.739401664939738</v>
      </c>
      <c r="O90" s="55">
        <f t="shared" si="7"/>
        <v>4.7976829036356099</v>
      </c>
      <c r="P90" s="55">
        <f t="shared" si="7"/>
        <v>9.9660711049000987</v>
      </c>
      <c r="Q90" s="55">
        <f t="shared" si="7"/>
        <v>10.975647656404032</v>
      </c>
      <c r="R90" s="55">
        <f t="shared" si="7"/>
        <v>2.0527172827789446</v>
      </c>
      <c r="S90" s="55">
        <f t="shared" si="7"/>
        <v>4.3014208046851552</v>
      </c>
      <c r="T90" s="55">
        <f t="shared" si="7"/>
        <v>4.6215095689399313</v>
      </c>
      <c r="U90" s="55">
        <f t="shared" si="7"/>
        <v>0</v>
      </c>
      <c r="V90" s="55">
        <f t="shared" si="7"/>
        <v>0</v>
      </c>
      <c r="W90" s="55">
        <f t="shared" si="7"/>
        <v>781.419921205739</v>
      </c>
      <c r="X90" s="55">
        <f>(X81*N81+X89*N89)/(N81+N89)</f>
        <v>0</v>
      </c>
      <c r="Y90" s="55">
        <f>(Y81*N81+Y89*N89)/(N81+N89)</f>
        <v>844.38995401302645</v>
      </c>
      <c r="Z90" s="55">
        <f>(Z81*N81+Z89*N89)/(N81+N89)</f>
        <v>0</v>
      </c>
      <c r="AA90" s="55">
        <f>(AA81*N81+AA89*N89)/(N81+N89)</f>
        <v>507.44234841323436</v>
      </c>
      <c r="AB90" s="55">
        <f>(AB81*N81+AB89*N89)/(N81+N89)</f>
        <v>39.660825377863191</v>
      </c>
      <c r="AC90" s="55">
        <f>(AC81*N81+AC89*N89)/(N81+N89)</f>
        <v>297.28678022192901</v>
      </c>
      <c r="AD90" s="55">
        <f>(AD81*N81+AD89*N89)/(N81+N89)</f>
        <v>206.13315948448968</v>
      </c>
      <c r="AE90" s="55">
        <f>(AE81*N81+AE89*N89)/(N81+N89)</f>
        <v>-9.0136040699458277</v>
      </c>
      <c r="AF90" s="55">
        <f>(AF81*N81+AF89*N89)/(N81+N89)</f>
        <v>47.122658807557997</v>
      </c>
      <c r="AG90" s="55">
        <f>(AG81*N81+AG89*N89)/(N81+N89)</f>
        <v>101.73554832645632</v>
      </c>
      <c r="AH90" s="55">
        <f>(AH81*N81+AH89*N89)/(N81+N89)</f>
        <v>0</v>
      </c>
      <c r="AI90" s="55">
        <f>(AI81*N81+AI89*N89)/(N81+N89)</f>
        <v>101.46076874999999</v>
      </c>
      <c r="AJ90" s="55">
        <f>(AJ81*N81+AJ89*N89)/(N81+N89)</f>
        <v>0</v>
      </c>
      <c r="AK90" s="55">
        <f>(AK81*N81+AK89*N89)/(N81+N89)</f>
        <v>-54.529677379578793</v>
      </c>
      <c r="AL90" s="55">
        <f>(AL81*N81+AL89*N89)/(N81+N89)</f>
        <v>0</v>
      </c>
      <c r="AM90" s="55">
        <f>(AM81*N81+AM89*N89)/(N81+N89)</f>
        <v>19.357465050000005</v>
      </c>
      <c r="AN90" s="55">
        <f>(AN81*N81+AN89*N89)/(N81+N89)</f>
        <v>0.69401351233162234</v>
      </c>
      <c r="AO90" s="55">
        <f>(AO81*N81+AO89*N89)/(N81+N89)</f>
        <v>638.25679452853672</v>
      </c>
      <c r="AP90" s="55">
        <f>(AP81*N81+AP89*N89)/(N81+N89)</f>
        <v>0</v>
      </c>
      <c r="AQ90" s="55">
        <f>(AQ81*N81+AQ89*N89)/(N81+N89)</f>
        <v>0</v>
      </c>
      <c r="AR90" s="55">
        <f>(AR81*N81+AR89*N89)/(N81+N89)</f>
        <v>0</v>
      </c>
      <c r="AS90" s="55">
        <f>(AS81*N81+AS89*N89)/(N81+N89)</f>
        <v>0</v>
      </c>
      <c r="AT90" s="55">
        <f>(AT81*N81+AT89*N89)/(N81+N89)</f>
        <v>0</v>
      </c>
      <c r="AU90" s="55">
        <f>(AU81*N81+AU89*N89)/(N81+N89)</f>
        <v>588.84004848630764</v>
      </c>
      <c r="AV90" s="55">
        <f>(AV81*N81+AV89*N89)/(N81+N89)</f>
        <v>115.5586056991563</v>
      </c>
      <c r="AW90" s="55">
        <f>(AW81*N81+AW89*N89)/(N81+N89)</f>
        <v>115.5586056991563</v>
      </c>
      <c r="AX90" s="55">
        <f>(AX81*N81+AX89*N89)/(N81+N89)</f>
        <v>0</v>
      </c>
      <c r="AY90" s="55">
        <f>(AY81*N81+AY89*N89)/(N81+N89)</f>
        <v>0</v>
      </c>
      <c r="AZ90" s="55">
        <f>(AZ81*N81+AZ89*N89)/(N81+N89)</f>
        <v>338.03382443662719</v>
      </c>
      <c r="BA90" s="55">
        <f>(BA81*N81+BA89*N89)/(N81+N89)</f>
        <v>76.930878417473068</v>
      </c>
      <c r="BB90" s="55">
        <f>(BB81*N81+BB89*N89)/(N81+N89)</f>
        <v>108.79289417464756</v>
      </c>
      <c r="BC90" s="55">
        <f>(BC81*N81+BC89*N89)/(N81+N89)</f>
        <v>152.31005184450655</v>
      </c>
      <c r="BD90" s="55">
        <f>(BD81*N81+BD89*N89)/(N81+N89)</f>
        <v>0</v>
      </c>
      <c r="BE90" s="55">
        <f>(BE81*N81+BE89*N89)/(N81+N89)</f>
        <v>135.24761835052416</v>
      </c>
      <c r="BF90" s="55">
        <f>(BF81*N81+BF89*N89)/(N81+N89)</f>
        <v>46.938686681087304</v>
      </c>
      <c r="BG90" s="55">
        <f>(BG81*N81+BG89*N89)/(N81+N89)</f>
        <v>1.4723613094253221</v>
      </c>
      <c r="BH90" s="55">
        <f>(BH81*N81+BH89*N89)/(N81+N89)</f>
        <v>86.836570360011521</v>
      </c>
      <c r="BI90" s="55">
        <f>(BI81*N81+BI89*N89)/(N81+N89)</f>
        <v>0</v>
      </c>
      <c r="BJ90" s="55">
        <f>(BJ81*N81+BJ89*N89)/(N81+N89)</f>
        <v>588.84004848630764</v>
      </c>
      <c r="BK90" s="55">
        <f>(BK81*N81+BK89*N89)/(N81+N89)</f>
        <v>794.97320797079726</v>
      </c>
      <c r="BL90" s="55">
        <f>(BL81*N81+BL89*N89)/(N81+N89)</f>
        <v>2.3448680238130368</v>
      </c>
      <c r="BM90" s="55">
        <f>(BM81*N81+BM89*N89)/(N81+N89)</f>
        <v>1.1052951824595512</v>
      </c>
    </row>
    <row r="91" spans="1:65" x14ac:dyDescent="0.35">
      <c r="A91" s="15" t="s">
        <v>10621</v>
      </c>
      <c r="B91" s="15" t="s">
        <v>10457</v>
      </c>
      <c r="C91" s="15" t="s">
        <v>10573</v>
      </c>
      <c r="D91" s="15" t="s">
        <v>10321</v>
      </c>
      <c r="E91" s="15" t="s">
        <v>10694</v>
      </c>
      <c r="F91" s="15">
        <v>18919</v>
      </c>
      <c r="G91" s="15">
        <v>0.89712986944341666</v>
      </c>
      <c r="H91" s="15">
        <v>200</v>
      </c>
      <c r="I91" s="80">
        <v>599.7549828972941</v>
      </c>
      <c r="J91" s="79">
        <v>0.65846632783632075</v>
      </c>
      <c r="K91" s="15">
        <v>30</v>
      </c>
      <c r="L91" s="15">
        <v>11.002081056609324</v>
      </c>
      <c r="M91" s="15">
        <v>5.8725439185479047</v>
      </c>
      <c r="N91" s="15">
        <v>6.6363886077370218</v>
      </c>
      <c r="O91" s="15">
        <v>1.2369863363448381</v>
      </c>
      <c r="P91" s="15">
        <v>2.5695516005154566</v>
      </c>
      <c r="Q91" s="15">
        <v>2.8298506708767253</v>
      </c>
      <c r="R91" s="15">
        <v>0.52925199146702739</v>
      </c>
      <c r="S91" s="15">
        <v>1.109035104890516</v>
      </c>
      <c r="T91" s="15">
        <v>1.1915635745191826</v>
      </c>
      <c r="U91" s="15">
        <v>0</v>
      </c>
      <c r="V91" s="15">
        <v>805.8938324137099</v>
      </c>
      <c r="W91" s="15">
        <v>0</v>
      </c>
      <c r="X91" s="15">
        <v>0</v>
      </c>
      <c r="Y91" s="15">
        <v>742.01508559445324</v>
      </c>
      <c r="Z91" s="15">
        <v>0</v>
      </c>
      <c r="AA91" s="15">
        <v>422.23899999999998</v>
      </c>
      <c r="AB91" s="15">
        <v>30.878</v>
      </c>
      <c r="AC91" s="15">
        <v>288.89808559445322</v>
      </c>
      <c r="AD91" s="15">
        <v>142.26010269715914</v>
      </c>
      <c r="AE91" s="15">
        <v>0.54994788619329271</v>
      </c>
      <c r="AF91" s="15">
        <v>0</v>
      </c>
      <c r="AG91" s="15">
        <v>0</v>
      </c>
      <c r="AH91" s="15">
        <v>40.249386060965911</v>
      </c>
      <c r="AI91" s="15">
        <v>101.46076874999999</v>
      </c>
      <c r="AJ91" s="15">
        <v>-1.468144660174908E-15</v>
      </c>
      <c r="AK91" s="15">
        <v>0</v>
      </c>
      <c r="AL91" s="15">
        <v>0</v>
      </c>
      <c r="AM91" s="15">
        <v>0</v>
      </c>
      <c r="AN91" s="15">
        <v>0.49242314086102928</v>
      </c>
      <c r="AO91" s="15">
        <v>599.7549828972941</v>
      </c>
      <c r="AP91" s="15">
        <v>40.799333947159205</v>
      </c>
      <c r="AQ91" s="15">
        <v>0.54994788619329271</v>
      </c>
      <c r="AR91" s="15">
        <v>0</v>
      </c>
      <c r="AS91" s="15">
        <v>0</v>
      </c>
      <c r="AT91" s="15">
        <v>40.249386060965911</v>
      </c>
      <c r="AU91" s="15">
        <v>300.75711014005145</v>
      </c>
      <c r="AV91" s="15">
        <v>80.203183582499989</v>
      </c>
      <c r="AW91" s="15">
        <v>80.203183582499989</v>
      </c>
      <c r="AX91" s="15">
        <v>0</v>
      </c>
      <c r="AY91" s="15">
        <v>0</v>
      </c>
      <c r="AZ91" s="15">
        <v>119.15832063838675</v>
      </c>
      <c r="BA91" s="15">
        <v>76.930878417473096</v>
      </c>
      <c r="BB91" s="15">
        <v>17.594767592047358</v>
      </c>
      <c r="BC91" s="15">
        <v>24.632674628866297</v>
      </c>
      <c r="BD91" s="15">
        <v>0</v>
      </c>
      <c r="BE91" s="15">
        <v>101.39560591916472</v>
      </c>
      <c r="BF91" s="15">
        <v>35.060787582364703</v>
      </c>
      <c r="BG91" s="15">
        <v>1.4723613094253223</v>
      </c>
      <c r="BH91" s="15">
        <v>64.862457027374703</v>
      </c>
      <c r="BI91" s="15">
        <v>0</v>
      </c>
      <c r="BJ91" s="15">
        <v>341.55644408721065</v>
      </c>
      <c r="BK91" s="15">
        <v>483.81654678436979</v>
      </c>
      <c r="BL91" s="15">
        <v>1.3669819250526005</v>
      </c>
      <c r="BM91" s="15">
        <v>0.65846632783632075</v>
      </c>
    </row>
    <row r="92" spans="1:65" x14ac:dyDescent="0.35">
      <c r="A92" s="15" t="s">
        <v>10621</v>
      </c>
      <c r="B92" s="15" t="s">
        <v>10457</v>
      </c>
      <c r="C92" s="15" t="s">
        <v>10573</v>
      </c>
      <c r="D92" s="15" t="s">
        <v>10322</v>
      </c>
      <c r="E92" s="15" t="s">
        <v>10695</v>
      </c>
      <c r="F92" s="15">
        <v>18919</v>
      </c>
      <c r="G92" s="15">
        <v>0.89712986944341666</v>
      </c>
      <c r="H92" s="15">
        <v>200</v>
      </c>
      <c r="I92" s="80">
        <v>1660.6164439616598</v>
      </c>
      <c r="J92" s="81">
        <v>-0.33963487988220215</v>
      </c>
      <c r="K92" s="15">
        <v>30</v>
      </c>
      <c r="L92" s="15">
        <v>11.002081056609324</v>
      </c>
      <c r="M92" s="15">
        <v>5.8725439185479047</v>
      </c>
      <c r="N92" s="15">
        <v>6.6363886077370218</v>
      </c>
      <c r="O92" s="15">
        <v>1.2369863363448381</v>
      </c>
      <c r="P92" s="15">
        <v>2.5695516005154566</v>
      </c>
      <c r="Q92" s="15">
        <v>2.8298506708767253</v>
      </c>
      <c r="R92" s="15">
        <v>0.52925199146702739</v>
      </c>
      <c r="S92" s="15">
        <v>1.109035104890516</v>
      </c>
      <c r="T92" s="15">
        <v>1.1915635745191826</v>
      </c>
      <c r="U92" s="15">
        <v>0</v>
      </c>
      <c r="V92" s="15">
        <v>0</v>
      </c>
      <c r="W92" s="15">
        <v>201.47345810342748</v>
      </c>
      <c r="X92" s="15">
        <v>0</v>
      </c>
      <c r="Y92" s="15">
        <v>742.01508559445324</v>
      </c>
      <c r="Z92" s="15">
        <v>0</v>
      </c>
      <c r="AA92" s="15">
        <v>422.23899999999998</v>
      </c>
      <c r="AB92" s="15">
        <v>30.878</v>
      </c>
      <c r="AC92" s="15">
        <v>288.89808559445322</v>
      </c>
      <c r="AD92" s="15">
        <v>-918.60135836720656</v>
      </c>
      <c r="AE92" s="15">
        <v>-0.62490944247001956</v>
      </c>
      <c r="AF92" s="15">
        <v>91.383214144028386</v>
      </c>
      <c r="AG92" s="15">
        <v>-1051.6366363423308</v>
      </c>
      <c r="AH92" s="15">
        <v>0</v>
      </c>
      <c r="AI92" s="15">
        <v>101.46076874999999</v>
      </c>
      <c r="AJ92" s="15">
        <v>0</v>
      </c>
      <c r="AK92" s="15">
        <v>-59.183795476434078</v>
      </c>
      <c r="AL92" s="15">
        <v>0</v>
      </c>
      <c r="AM92" s="15">
        <v>0</v>
      </c>
      <c r="AN92" s="15">
        <v>-3.1796727087237007</v>
      </c>
      <c r="AO92" s="15">
        <v>1660.6164439616598</v>
      </c>
      <c r="AP92" s="15">
        <v>0</v>
      </c>
      <c r="AQ92" s="15">
        <v>0</v>
      </c>
      <c r="AR92" s="15">
        <v>0</v>
      </c>
      <c r="AS92" s="15">
        <v>0</v>
      </c>
      <c r="AT92" s="15">
        <v>0</v>
      </c>
      <c r="AU92" s="15">
        <v>443.4961774863317</v>
      </c>
      <c r="AV92" s="15">
        <v>80.203183582499989</v>
      </c>
      <c r="AW92" s="15">
        <v>80.203183582499989</v>
      </c>
      <c r="AX92" s="15">
        <v>0</v>
      </c>
      <c r="AY92" s="15">
        <v>0</v>
      </c>
      <c r="AZ92" s="15">
        <v>119.15832063838675</v>
      </c>
      <c r="BA92" s="15">
        <v>76.930878417473096</v>
      </c>
      <c r="BB92" s="15">
        <v>17.594767592047358</v>
      </c>
      <c r="BC92" s="15">
        <v>24.632674628866297</v>
      </c>
      <c r="BD92" s="15">
        <v>0</v>
      </c>
      <c r="BE92" s="15">
        <v>244.134673265445</v>
      </c>
      <c r="BF92" s="15">
        <v>85.144670861761298</v>
      </c>
      <c r="BG92" s="15">
        <v>1.4723613094253223</v>
      </c>
      <c r="BH92" s="15">
        <v>157.51764109425838</v>
      </c>
      <c r="BI92" s="15">
        <v>0</v>
      </c>
      <c r="BJ92" s="15">
        <v>443.4961774863317</v>
      </c>
      <c r="BK92" s="15">
        <v>-475.10518088087485</v>
      </c>
      <c r="BL92" s="15">
        <v>-1.9522568497288677</v>
      </c>
      <c r="BM92" s="15">
        <v>-0.33963487988220215</v>
      </c>
    </row>
    <row r="93" spans="1:65" x14ac:dyDescent="0.35">
      <c r="A93" s="15" t="s">
        <v>10621</v>
      </c>
      <c r="B93" s="15" t="s">
        <v>10457</v>
      </c>
      <c r="C93" s="15" t="s">
        <v>10573</v>
      </c>
      <c r="D93" s="15" t="s">
        <v>10323</v>
      </c>
      <c r="E93" s="15" t="s">
        <v>10696</v>
      </c>
      <c r="F93" s="15">
        <v>18919</v>
      </c>
      <c r="G93" s="15">
        <v>0.89712986944341666</v>
      </c>
      <c r="H93" s="15">
        <v>200</v>
      </c>
      <c r="I93" s="80">
        <v>663.02554308619938</v>
      </c>
      <c r="J93" s="79">
        <v>0.44757177884215221</v>
      </c>
      <c r="K93" s="15">
        <v>30</v>
      </c>
      <c r="L93" s="15">
        <v>11.002081056609324</v>
      </c>
      <c r="M93" s="15">
        <v>5.8725439185479047</v>
      </c>
      <c r="N93" s="15">
        <v>6.6363886077370218</v>
      </c>
      <c r="O93" s="15">
        <v>1.2369863363448381</v>
      </c>
      <c r="P93" s="15">
        <v>2.5695516005154566</v>
      </c>
      <c r="Q93" s="15">
        <v>2.8298506708767253</v>
      </c>
      <c r="R93" s="15">
        <v>0.52925199146702739</v>
      </c>
      <c r="S93" s="15">
        <v>1.109035104890516</v>
      </c>
      <c r="T93" s="15">
        <v>1.1915635745191826</v>
      </c>
      <c r="U93" s="15">
        <v>0</v>
      </c>
      <c r="V93" s="15">
        <v>0</v>
      </c>
      <c r="W93" s="15">
        <v>0</v>
      </c>
      <c r="X93" s="15">
        <v>201473.45810342749</v>
      </c>
      <c r="Y93" s="15">
        <v>742.01508559445324</v>
      </c>
      <c r="Z93" s="15">
        <v>0</v>
      </c>
      <c r="AA93" s="15">
        <v>422.23899999999998</v>
      </c>
      <c r="AB93" s="15">
        <v>30.878</v>
      </c>
      <c r="AC93" s="15">
        <v>288.89808559445322</v>
      </c>
      <c r="AD93" s="15">
        <v>78.989542508253862</v>
      </c>
      <c r="AE93" s="15">
        <v>-0.62490944247001956</v>
      </c>
      <c r="AF93" s="15">
        <v>0</v>
      </c>
      <c r="AG93" s="15">
        <v>0</v>
      </c>
      <c r="AH93" s="15">
        <v>0</v>
      </c>
      <c r="AI93" s="15">
        <v>101.46076874999999</v>
      </c>
      <c r="AJ93" s="15">
        <v>0</v>
      </c>
      <c r="AK93" s="15">
        <v>-21.846316799276114</v>
      </c>
      <c r="AL93" s="15">
        <v>0</v>
      </c>
      <c r="AM93" s="15">
        <v>0</v>
      </c>
      <c r="AN93" s="15">
        <v>0.27341663530140903</v>
      </c>
      <c r="AO93" s="15">
        <v>663.02554308619938</v>
      </c>
      <c r="AP93" s="15">
        <v>0</v>
      </c>
      <c r="AQ93" s="15">
        <v>0</v>
      </c>
      <c r="AR93" s="15">
        <v>0</v>
      </c>
      <c r="AS93" s="15">
        <v>0</v>
      </c>
      <c r="AT93" s="15">
        <v>0</v>
      </c>
      <c r="AU93" s="15">
        <v>306.66006482307364</v>
      </c>
      <c r="AV93" s="15">
        <v>80.203183582499989</v>
      </c>
      <c r="AW93" s="15">
        <v>80.203183582499989</v>
      </c>
      <c r="AX93" s="15">
        <v>0</v>
      </c>
      <c r="AY93" s="15">
        <v>0</v>
      </c>
      <c r="AZ93" s="15">
        <v>119.15832063838675</v>
      </c>
      <c r="BA93" s="15">
        <v>76.930878417473096</v>
      </c>
      <c r="BB93" s="15">
        <v>17.594767592047358</v>
      </c>
      <c r="BC93" s="15">
        <v>24.632674628866297</v>
      </c>
      <c r="BD93" s="15">
        <v>0</v>
      </c>
      <c r="BE93" s="15">
        <v>107.29856060218688</v>
      </c>
      <c r="BF93" s="15">
        <v>37.131999751846159</v>
      </c>
      <c r="BG93" s="15">
        <v>1.4723613094253223</v>
      </c>
      <c r="BH93" s="15">
        <v>68.694199540915392</v>
      </c>
      <c r="BI93" s="15">
        <v>0</v>
      </c>
      <c r="BJ93" s="15">
        <v>306.66006482307364</v>
      </c>
      <c r="BK93" s="15">
        <v>385.6496073313275</v>
      </c>
      <c r="BL93" s="15">
        <v>1.0271841058630118</v>
      </c>
      <c r="BM93" s="15">
        <v>0.44757177884215221</v>
      </c>
    </row>
    <row r="94" spans="1:65" x14ac:dyDescent="0.35">
      <c r="A94" s="15" t="s">
        <v>10621</v>
      </c>
      <c r="B94" s="15" t="s">
        <v>10457</v>
      </c>
      <c r="C94" s="15" t="s">
        <v>10573</v>
      </c>
      <c r="D94" s="15" t="s">
        <v>10324</v>
      </c>
      <c r="E94" s="15" t="s">
        <v>10697</v>
      </c>
      <c r="F94" s="15">
        <v>18919</v>
      </c>
      <c r="G94" s="15">
        <v>0.89712986944341666</v>
      </c>
      <c r="H94" s="15">
        <v>200</v>
      </c>
      <c r="I94" s="80">
        <v>607.85205049950844</v>
      </c>
      <c r="J94" s="79">
        <v>0.57583479624921297</v>
      </c>
      <c r="K94" s="15">
        <v>30</v>
      </c>
      <c r="L94" s="15">
        <v>11.149538362876143</v>
      </c>
      <c r="M94" s="15">
        <v>5.9199512895487256</v>
      </c>
      <c r="N94" s="15">
        <v>6.6363886077370218</v>
      </c>
      <c r="O94" s="15">
        <v>0.93254532715920602</v>
      </c>
      <c r="P94" s="15">
        <v>2.6782805323674688</v>
      </c>
      <c r="Q94" s="15">
        <v>3.0255627482103469</v>
      </c>
      <c r="R94" s="15">
        <v>0.52925199146702739</v>
      </c>
      <c r="S94" s="15">
        <v>1.3047471822241368</v>
      </c>
      <c r="T94" s="15">
        <v>1.1915635745191826</v>
      </c>
      <c r="U94" s="15">
        <v>0</v>
      </c>
      <c r="V94" s="15">
        <v>0</v>
      </c>
      <c r="W94" s="15">
        <v>0</v>
      </c>
      <c r="X94" s="15">
        <v>0</v>
      </c>
      <c r="Y94" s="15">
        <v>708.51915083995414</v>
      </c>
      <c r="Z94" s="15">
        <v>0</v>
      </c>
      <c r="AA94" s="15">
        <v>422.23899999999998</v>
      </c>
      <c r="AB94" s="15">
        <v>30.878</v>
      </c>
      <c r="AC94" s="15">
        <v>255.40215083995423</v>
      </c>
      <c r="AD94" s="15">
        <v>100.6671003404457</v>
      </c>
      <c r="AE94" s="15">
        <v>-0.79366840955416917</v>
      </c>
      <c r="AF94" s="15">
        <v>0</v>
      </c>
      <c r="AG94" s="15">
        <v>0</v>
      </c>
      <c r="AH94" s="15">
        <v>0</v>
      </c>
      <c r="AI94" s="15">
        <v>101.46076874999999</v>
      </c>
      <c r="AJ94" s="15">
        <v>0</v>
      </c>
      <c r="AK94" s="15">
        <v>0</v>
      </c>
      <c r="AL94" s="15">
        <v>0</v>
      </c>
      <c r="AM94" s="15">
        <v>0</v>
      </c>
      <c r="AN94" s="15">
        <v>0.39415134136253988</v>
      </c>
      <c r="AO94" s="15">
        <v>607.85205049950844</v>
      </c>
      <c r="AP94" s="15">
        <v>0</v>
      </c>
      <c r="AQ94" s="15">
        <v>0</v>
      </c>
      <c r="AR94" s="15">
        <v>0</v>
      </c>
      <c r="AS94" s="15">
        <v>0</v>
      </c>
      <c r="AT94" s="15">
        <v>0</v>
      </c>
      <c r="AU94" s="15">
        <v>304.7574121485593</v>
      </c>
      <c r="AV94" s="15">
        <v>78.058911149999986</v>
      </c>
      <c r="AW94" s="15">
        <v>78.058911149999986</v>
      </c>
      <c r="AX94" s="15">
        <v>0</v>
      </c>
      <c r="AY94" s="15">
        <v>0</v>
      </c>
      <c r="AZ94" s="15">
        <v>124.14906294607907</v>
      </c>
      <c r="BA94" s="15">
        <v>76.930878417473096</v>
      </c>
      <c r="BB94" s="15">
        <v>19.674243553585821</v>
      </c>
      <c r="BC94" s="15">
        <v>27.543940975020146</v>
      </c>
      <c r="BD94" s="15">
        <v>0</v>
      </c>
      <c r="BE94" s="15">
        <v>102.54943805248027</v>
      </c>
      <c r="BF94" s="15">
        <v>35.465640962475419</v>
      </c>
      <c r="BG94" s="15">
        <v>1.4723613094253223</v>
      </c>
      <c r="BH94" s="15">
        <v>65.611435780579527</v>
      </c>
      <c r="BI94" s="15">
        <v>0</v>
      </c>
      <c r="BJ94" s="15">
        <v>304.7574121485593</v>
      </c>
      <c r="BK94" s="15">
        <v>405.424512489005</v>
      </c>
      <c r="BL94" s="15">
        <v>1.3704753875326192</v>
      </c>
      <c r="BM94" s="15">
        <v>0.57583479624921297</v>
      </c>
    </row>
    <row r="95" spans="1:65" x14ac:dyDescent="0.35">
      <c r="A95" s="15" t="s">
        <v>10621</v>
      </c>
      <c r="B95" s="15" t="s">
        <v>10457</v>
      </c>
      <c r="C95" s="15" t="s">
        <v>10573</v>
      </c>
      <c r="D95" s="15" t="s">
        <v>10325</v>
      </c>
      <c r="E95" s="15" t="s">
        <v>10698</v>
      </c>
      <c r="F95" s="15">
        <v>18919</v>
      </c>
      <c r="G95" s="15">
        <v>0.89712986944341666</v>
      </c>
      <c r="H95" s="15">
        <v>200</v>
      </c>
      <c r="I95" s="80">
        <v>670.50985852861356</v>
      </c>
      <c r="J95" s="81">
        <v>0.38196374052948828</v>
      </c>
      <c r="K95" s="15">
        <v>30</v>
      </c>
      <c r="L95" s="15">
        <v>10</v>
      </c>
      <c r="M95" s="15">
        <v>5.2836335778716235</v>
      </c>
      <c r="N95" s="15">
        <v>6.6363886077370218</v>
      </c>
      <c r="O95" s="15">
        <v>1.4871980960223472</v>
      </c>
      <c r="P95" s="15">
        <v>2.3215414627585647</v>
      </c>
      <c r="Q95" s="15">
        <v>2.8276490489561095</v>
      </c>
      <c r="R95" s="15">
        <v>0.52925199146702739</v>
      </c>
      <c r="S95" s="15">
        <v>0</v>
      </c>
      <c r="T95" s="15">
        <v>2.2983970574890824</v>
      </c>
      <c r="U95" s="15">
        <v>0</v>
      </c>
      <c r="V95" s="15">
        <v>0</v>
      </c>
      <c r="W95" s="15">
        <v>0</v>
      </c>
      <c r="X95" s="15">
        <v>0</v>
      </c>
      <c r="Y95" s="15">
        <v>771.97062727861339</v>
      </c>
      <c r="Z95" s="15">
        <v>0</v>
      </c>
      <c r="AA95" s="15">
        <v>422.23899999999998</v>
      </c>
      <c r="AB95" s="15">
        <v>30.878</v>
      </c>
      <c r="AC95" s="15">
        <v>318.85362727861343</v>
      </c>
      <c r="AD95" s="15">
        <v>101.46076874999983</v>
      </c>
      <c r="AE95" s="15">
        <v>0</v>
      </c>
      <c r="AF95" s="15">
        <v>0</v>
      </c>
      <c r="AG95" s="15">
        <v>0</v>
      </c>
      <c r="AH95" s="15">
        <v>0</v>
      </c>
      <c r="AI95" s="15">
        <v>101.46076874999999</v>
      </c>
      <c r="AJ95" s="15">
        <v>0</v>
      </c>
      <c r="AK95" s="15">
        <v>0</v>
      </c>
      <c r="AL95" s="15">
        <v>0</v>
      </c>
      <c r="AM95" s="15">
        <v>0</v>
      </c>
      <c r="AN95" s="15">
        <v>0.31820484407205341</v>
      </c>
      <c r="AO95" s="15">
        <v>670.50985852861356</v>
      </c>
      <c r="AP95" s="15">
        <v>0</v>
      </c>
      <c r="AQ95" s="15">
        <v>0</v>
      </c>
      <c r="AR95" s="15">
        <v>0</v>
      </c>
      <c r="AS95" s="15">
        <v>0</v>
      </c>
      <c r="AT95" s="15">
        <v>0</v>
      </c>
      <c r="AU95" s="15">
        <v>273.50331215410085</v>
      </c>
      <c r="AV95" s="15">
        <v>85.094258039999985</v>
      </c>
      <c r="AW95" s="15">
        <v>85.094258039999985</v>
      </c>
      <c r="AX95" s="15">
        <v>0</v>
      </c>
      <c r="AY95" s="15">
        <v>0</v>
      </c>
      <c r="AZ95" s="15">
        <v>76.930878417473096</v>
      </c>
      <c r="BA95" s="15">
        <v>76.930878417473096</v>
      </c>
      <c r="BB95" s="15">
        <v>0</v>
      </c>
      <c r="BC95" s="15">
        <v>0</v>
      </c>
      <c r="BD95" s="15">
        <v>0</v>
      </c>
      <c r="BE95" s="15">
        <v>111.47817569662774</v>
      </c>
      <c r="BF95" s="15">
        <v>38.598531363930675</v>
      </c>
      <c r="BG95" s="15">
        <v>1.4723613094253223</v>
      </c>
      <c r="BH95" s="15">
        <v>71.407283023271745</v>
      </c>
      <c r="BI95" s="15">
        <v>0</v>
      </c>
      <c r="BJ95" s="15">
        <v>273.50331215410085</v>
      </c>
      <c r="BK95" s="15">
        <v>374.96408090410068</v>
      </c>
      <c r="BL95" s="15">
        <v>0.80322264423135648</v>
      </c>
      <c r="BM95" s="15">
        <v>0.38196374052948828</v>
      </c>
    </row>
    <row r="96" spans="1:65" s="60" customFormat="1" x14ac:dyDescent="0.35">
      <c r="A96" s="15" t="s">
        <v>10621</v>
      </c>
      <c r="B96" s="15" t="s">
        <v>10457</v>
      </c>
      <c r="C96" s="15" t="s">
        <v>10573</v>
      </c>
      <c r="D96" s="15" t="s">
        <v>10326</v>
      </c>
      <c r="E96" s="15" t="s">
        <v>10699</v>
      </c>
      <c r="F96" s="15">
        <v>18919</v>
      </c>
      <c r="G96" s="15">
        <v>0.89712986944341666</v>
      </c>
      <c r="H96" s="15">
        <v>200</v>
      </c>
      <c r="I96" s="78">
        <v>-249.25546445953569</v>
      </c>
      <c r="J96" s="81">
        <v>-9.0754036498751685</v>
      </c>
      <c r="K96" s="15">
        <v>30</v>
      </c>
      <c r="L96" s="15">
        <v>10</v>
      </c>
      <c r="M96" s="15">
        <v>5.1492274884434046</v>
      </c>
      <c r="N96" s="15">
        <v>6.6363886077370218</v>
      </c>
      <c r="O96" s="15">
        <v>4.8498711602949411</v>
      </c>
      <c r="P96" s="15">
        <v>1.2214273232539989</v>
      </c>
      <c r="Q96" s="15">
        <v>0.56509012418808247</v>
      </c>
      <c r="R96" s="15">
        <v>0.56509012418808247</v>
      </c>
      <c r="S96" s="15">
        <v>0</v>
      </c>
      <c r="T96" s="15">
        <v>0</v>
      </c>
      <c r="U96" s="15">
        <v>4207.927716448683</v>
      </c>
      <c r="V96" s="15">
        <v>0</v>
      </c>
      <c r="W96" s="15">
        <v>0</v>
      </c>
      <c r="X96" s="15">
        <v>0</v>
      </c>
      <c r="Y96" s="15">
        <v>1060.3659987686547</v>
      </c>
      <c r="Z96" s="15">
        <v>0</v>
      </c>
      <c r="AA96" s="15">
        <v>422.23899999999998</v>
      </c>
      <c r="AB96" s="15">
        <v>30.878</v>
      </c>
      <c r="AC96" s="15">
        <v>607.24899876865459</v>
      </c>
      <c r="AD96" s="15">
        <v>1309.6214632281904</v>
      </c>
      <c r="AE96" s="15">
        <v>0</v>
      </c>
      <c r="AF96" s="15">
        <v>0</v>
      </c>
      <c r="AG96" s="15">
        <v>0</v>
      </c>
      <c r="AH96" s="15">
        <v>1186.6211049987476</v>
      </c>
      <c r="AI96" s="15">
        <v>123.00035822944254</v>
      </c>
      <c r="AJ96" s="15">
        <v>0</v>
      </c>
      <c r="AK96" s="15">
        <v>0</v>
      </c>
      <c r="AL96" s="15">
        <v>0</v>
      </c>
      <c r="AM96" s="15">
        <v>0</v>
      </c>
      <c r="AN96" s="15">
        <v>2.1566465583043648</v>
      </c>
      <c r="AO96" s="15">
        <v>-249.25546445953569</v>
      </c>
      <c r="AP96" s="15">
        <v>1186.6211049987476</v>
      </c>
      <c r="AQ96" s="15">
        <v>0</v>
      </c>
      <c r="AR96" s="15">
        <v>0</v>
      </c>
      <c r="AS96" s="15">
        <v>0</v>
      </c>
      <c r="AT96" s="15">
        <v>1186.6211049987476</v>
      </c>
      <c r="AU96" s="15">
        <v>173.10038244911706</v>
      </c>
      <c r="AV96" s="15">
        <v>106.78990409999997</v>
      </c>
      <c r="AW96" s="15">
        <v>106.78990409999997</v>
      </c>
      <c r="AX96" s="15">
        <v>0</v>
      </c>
      <c r="AY96" s="15">
        <v>0</v>
      </c>
      <c r="AZ96" s="15">
        <v>82.718698010625459</v>
      </c>
      <c r="BA96" s="15">
        <v>82.718698010625459</v>
      </c>
      <c r="BB96" s="15">
        <v>0</v>
      </c>
      <c r="BC96" s="15">
        <v>0</v>
      </c>
      <c r="BD96" s="15">
        <v>0</v>
      </c>
      <c r="BE96" s="15">
        <v>-16.408219661508362</v>
      </c>
      <c r="BF96" s="15">
        <v>-6.3127553115046577</v>
      </c>
      <c r="BG96" s="15">
        <v>1.5831329762799129</v>
      </c>
      <c r="BH96" s="15">
        <v>-11.678597326283617</v>
      </c>
      <c r="BI96" s="15">
        <v>0</v>
      </c>
      <c r="BJ96" s="15">
        <v>1359.7214874478645</v>
      </c>
      <c r="BK96" s="59">
        <v>2669.3429506760549</v>
      </c>
      <c r="BL96" s="59">
        <v>3.7251505667269069</v>
      </c>
      <c r="BM96" s="59">
        <v>-9.0754036498751685</v>
      </c>
    </row>
    <row r="97" spans="1:65" s="56" customFormat="1" x14ac:dyDescent="0.35">
      <c r="A97" s="15" t="s">
        <v>10621</v>
      </c>
      <c r="B97" s="15" t="s">
        <v>10457</v>
      </c>
      <c r="C97" s="15" t="s">
        <v>10573</v>
      </c>
      <c r="D97" s="15" t="s">
        <v>10327</v>
      </c>
      <c r="E97" s="15" t="s">
        <v>10700</v>
      </c>
      <c r="F97" s="15">
        <v>18919</v>
      </c>
      <c r="G97" s="15">
        <v>0.89712986944341666</v>
      </c>
      <c r="H97" s="15">
        <v>200</v>
      </c>
      <c r="I97" s="80">
        <v>3781.1094038828137</v>
      </c>
      <c r="J97" s="81">
        <v>-0.77829260980005832</v>
      </c>
      <c r="K97" s="15">
        <v>30</v>
      </c>
      <c r="L97" s="15">
        <v>32.981910523628173</v>
      </c>
      <c r="M97" s="15">
        <v>18.853404768881525</v>
      </c>
      <c r="N97" s="15">
        <v>6.6363886077370218</v>
      </c>
      <c r="O97" s="15">
        <v>4.8498711602949411</v>
      </c>
      <c r="P97" s="15">
        <v>1.2214273232539989</v>
      </c>
      <c r="Q97" s="15">
        <v>0.56509012418808247</v>
      </c>
      <c r="R97" s="15">
        <v>0.56509012418808247</v>
      </c>
      <c r="S97" s="15">
        <v>0</v>
      </c>
      <c r="T97" s="15">
        <v>0</v>
      </c>
      <c r="U97" s="15">
        <v>4207.927716448683</v>
      </c>
      <c r="V97" s="15">
        <v>0</v>
      </c>
      <c r="W97" s="15">
        <v>0</v>
      </c>
      <c r="X97" s="15">
        <v>0</v>
      </c>
      <c r="Y97" s="15">
        <v>1896.3297948974748</v>
      </c>
      <c r="Z97" s="15">
        <v>0</v>
      </c>
      <c r="AA97" s="15">
        <v>422.23899999999998</v>
      </c>
      <c r="AB97" s="15">
        <v>30.878</v>
      </c>
      <c r="AC97" s="15">
        <v>1443.2127948974749</v>
      </c>
      <c r="AD97" s="15">
        <v>-1884.7796089853389</v>
      </c>
      <c r="AE97" s="15">
        <v>-48.462610879253219</v>
      </c>
      <c r="AF97" s="15">
        <v>0</v>
      </c>
      <c r="AG97" s="15">
        <v>0</v>
      </c>
      <c r="AH97" s="15">
        <v>-1959.3173563355285</v>
      </c>
      <c r="AI97" s="15">
        <v>123.00035822944254</v>
      </c>
      <c r="AJ97" s="15">
        <v>0</v>
      </c>
      <c r="AK97" s="15">
        <v>0</v>
      </c>
      <c r="AL97" s="15">
        <v>0</v>
      </c>
      <c r="AM97" s="15">
        <v>0</v>
      </c>
      <c r="AN97" s="15">
        <v>-1.3059609890163375</v>
      </c>
      <c r="AO97" s="15">
        <v>3781.1094038828137</v>
      </c>
      <c r="AP97" s="15">
        <v>-2007.7799672147817</v>
      </c>
      <c r="AQ97" s="15">
        <v>-48.462610879253219</v>
      </c>
      <c r="AR97" s="15">
        <v>0</v>
      </c>
      <c r="AS97" s="15">
        <v>0</v>
      </c>
      <c r="AT97" s="15">
        <v>-1959.3173563355285</v>
      </c>
      <c r="AU97" s="15">
        <v>2192.9628652100973</v>
      </c>
      <c r="AV97" s="15">
        <v>106.78990409999997</v>
      </c>
      <c r="AW97" s="15">
        <v>106.78990409999997</v>
      </c>
      <c r="AX97" s="15">
        <v>0</v>
      </c>
      <c r="AY97" s="15">
        <v>0</v>
      </c>
      <c r="AZ97" s="15">
        <v>1528.2541870328207</v>
      </c>
      <c r="BA97" s="15">
        <v>82.718698010625459</v>
      </c>
      <c r="BB97" s="15">
        <v>602.30645375924803</v>
      </c>
      <c r="BC97" s="15">
        <v>843.22903526294726</v>
      </c>
      <c r="BD97" s="15">
        <v>0</v>
      </c>
      <c r="BE97" s="15">
        <v>557.91877407727645</v>
      </c>
      <c r="BF97" s="15">
        <v>195.20548810561283</v>
      </c>
      <c r="BG97" s="15">
        <v>1.5831329762799129</v>
      </c>
      <c r="BH97" s="15">
        <v>361.1301529953837</v>
      </c>
      <c r="BI97" s="15">
        <v>0</v>
      </c>
      <c r="BJ97" s="15">
        <v>185.18289799531567</v>
      </c>
      <c r="BK97" s="55">
        <v>-1699.5967109900232</v>
      </c>
      <c r="BL97" s="55">
        <v>-2.0390683316361216</v>
      </c>
      <c r="BM97" s="55">
        <v>-0.77829260980005832</v>
      </c>
    </row>
    <row r="98" spans="1:65" s="60" customFormat="1" x14ac:dyDescent="0.35">
      <c r="A98" s="59" t="s">
        <v>10621</v>
      </c>
      <c r="B98" s="59" t="s">
        <v>10457</v>
      </c>
      <c r="C98" s="59" t="s">
        <v>10666</v>
      </c>
      <c r="D98" s="59" t="s">
        <v>10326</v>
      </c>
      <c r="E98" s="59" t="s">
        <v>10701</v>
      </c>
      <c r="F98" s="59">
        <v>18919</v>
      </c>
      <c r="G98" s="59">
        <v>0.89712986944341666</v>
      </c>
      <c r="H98" s="59">
        <v>200</v>
      </c>
      <c r="I98" s="59">
        <v>-249.25546445953569</v>
      </c>
      <c r="J98" s="88">
        <v>-9.0754036498751685</v>
      </c>
      <c r="K98" s="59">
        <v>30</v>
      </c>
      <c r="L98" s="59">
        <v>10</v>
      </c>
      <c r="M98" s="59">
        <v>5.1492274884434046</v>
      </c>
      <c r="N98" s="59">
        <v>6.6363886077370218</v>
      </c>
      <c r="O98" s="59">
        <v>4.8498711602949411</v>
      </c>
      <c r="P98" s="59">
        <v>1.2214273232539989</v>
      </c>
      <c r="Q98" s="59">
        <v>0.56509012418808247</v>
      </c>
      <c r="R98" s="59">
        <v>0.56509012418808247</v>
      </c>
      <c r="S98" s="59">
        <v>0</v>
      </c>
      <c r="T98" s="59">
        <v>0</v>
      </c>
      <c r="U98" s="59">
        <v>4207.927716448683</v>
      </c>
      <c r="V98" s="59">
        <v>0</v>
      </c>
      <c r="W98" s="59">
        <v>0</v>
      </c>
      <c r="X98" s="59">
        <v>0</v>
      </c>
      <c r="Y98" s="59">
        <v>1060.3659987686547</v>
      </c>
      <c r="Z98" s="59">
        <v>0</v>
      </c>
      <c r="AA98" s="59">
        <v>422.23899999999998</v>
      </c>
      <c r="AB98" s="59">
        <v>30.878</v>
      </c>
      <c r="AC98" s="59">
        <v>607.24899876865459</v>
      </c>
      <c r="AD98" s="59">
        <v>1309.6214632281904</v>
      </c>
      <c r="AE98" s="59">
        <v>0</v>
      </c>
      <c r="AF98" s="59">
        <v>0</v>
      </c>
      <c r="AG98" s="59">
        <v>0</v>
      </c>
      <c r="AH98" s="59">
        <v>1186.6211049987476</v>
      </c>
      <c r="AI98" s="59">
        <v>123.00035822944254</v>
      </c>
      <c r="AJ98" s="59">
        <v>0</v>
      </c>
      <c r="AK98" s="59">
        <v>0</v>
      </c>
      <c r="AL98" s="59">
        <v>0</v>
      </c>
      <c r="AM98" s="59">
        <v>0</v>
      </c>
      <c r="AN98" s="59">
        <v>2.1566465583043648</v>
      </c>
      <c r="AO98" s="59">
        <v>-249.25546445953569</v>
      </c>
      <c r="AP98" s="59">
        <v>1186.6211049987476</v>
      </c>
      <c r="AQ98" s="59">
        <v>0</v>
      </c>
      <c r="AR98" s="59">
        <v>0</v>
      </c>
      <c r="AS98" s="59">
        <v>0</v>
      </c>
      <c r="AT98" s="59">
        <v>1186.6211049987476</v>
      </c>
      <c r="AU98" s="59">
        <v>173.10038244911706</v>
      </c>
      <c r="AV98" s="59">
        <v>106.78990409999997</v>
      </c>
      <c r="AW98" s="59">
        <v>106.78990409999997</v>
      </c>
      <c r="AX98" s="59">
        <v>0</v>
      </c>
      <c r="AY98" s="59">
        <v>0</v>
      </c>
      <c r="AZ98" s="59">
        <v>82.718698010625459</v>
      </c>
      <c r="BA98" s="59">
        <v>82.718698010625459</v>
      </c>
      <c r="BB98" s="59">
        <v>0</v>
      </c>
      <c r="BC98" s="59">
        <v>0</v>
      </c>
      <c r="BD98" s="59">
        <v>0</v>
      </c>
      <c r="BE98" s="59">
        <v>-16.408219661508362</v>
      </c>
      <c r="BF98" s="59">
        <v>-6.3127553115046577</v>
      </c>
      <c r="BG98" s="59">
        <v>1.5831329762799129</v>
      </c>
      <c r="BH98" s="59">
        <v>-11.678597326283617</v>
      </c>
      <c r="BI98" s="59">
        <v>0</v>
      </c>
      <c r="BJ98" s="59">
        <v>1359.7214874478645</v>
      </c>
      <c r="BK98" s="59">
        <v>2669.3429506760549</v>
      </c>
      <c r="BL98" s="59">
        <v>3.7251505667269069</v>
      </c>
      <c r="BM98" s="59">
        <v>-9.0754036498751685</v>
      </c>
    </row>
    <row r="99" spans="1:65" x14ac:dyDescent="0.35">
      <c r="A99" s="15" t="s">
        <v>10621</v>
      </c>
      <c r="B99" s="15" t="s">
        <v>10457</v>
      </c>
      <c r="C99" s="15" t="s">
        <v>10574</v>
      </c>
      <c r="D99" s="15" t="s">
        <v>10321</v>
      </c>
      <c r="E99" s="15" t="s">
        <v>10702</v>
      </c>
      <c r="F99" s="15">
        <v>54459</v>
      </c>
      <c r="G99" s="15">
        <v>0.89712693248936548</v>
      </c>
      <c r="H99" s="15">
        <v>200</v>
      </c>
      <c r="I99" s="80">
        <v>695.61195212485791</v>
      </c>
      <c r="J99" s="79">
        <v>0.84941761735644972</v>
      </c>
      <c r="K99" s="15">
        <v>30</v>
      </c>
      <c r="L99" s="15">
        <v>56.79154403287545</v>
      </c>
      <c r="M99" s="15">
        <v>13.90504925567271</v>
      </c>
      <c r="N99" s="15">
        <v>19.103013057202716</v>
      </c>
      <c r="O99" s="15">
        <v>3.5606965672907718</v>
      </c>
      <c r="P99" s="15">
        <v>7.3965195043846421</v>
      </c>
      <c r="Q99" s="15">
        <v>8.1457969855273067</v>
      </c>
      <c r="R99" s="15">
        <v>1.5234652913119171</v>
      </c>
      <c r="S99" s="15">
        <v>3.1923856997946394</v>
      </c>
      <c r="T99" s="15">
        <v>3.4299459944207489</v>
      </c>
      <c r="U99" s="15">
        <v>0</v>
      </c>
      <c r="V99" s="15">
        <v>2319.7858524092462</v>
      </c>
      <c r="W99" s="15">
        <v>0</v>
      </c>
      <c r="X99" s="15">
        <v>0</v>
      </c>
      <c r="Y99" s="15">
        <v>837.24301355741716</v>
      </c>
      <c r="Z99" s="15">
        <v>0</v>
      </c>
      <c r="AA99" s="15">
        <v>537.04200000000003</v>
      </c>
      <c r="AB99" s="15">
        <v>0</v>
      </c>
      <c r="AC99" s="15">
        <v>300.20101355741713</v>
      </c>
      <c r="AD99" s="15">
        <v>141.63106143255925</v>
      </c>
      <c r="AE99" s="15">
        <v>10.497023283962301</v>
      </c>
      <c r="AF99" s="15">
        <v>0</v>
      </c>
      <c r="AG99" s="15">
        <v>0</v>
      </c>
      <c r="AH99" s="15">
        <v>29.673269398596961</v>
      </c>
      <c r="AI99" s="15">
        <v>101.46076874999999</v>
      </c>
      <c r="AJ99" s="15">
        <v>0</v>
      </c>
      <c r="AK99" s="15">
        <v>0</v>
      </c>
      <c r="AL99" s="15">
        <v>0</v>
      </c>
      <c r="AM99" s="15">
        <v>0</v>
      </c>
      <c r="AN99" s="15">
        <v>0.47178741921692602</v>
      </c>
      <c r="AO99" s="15">
        <v>695.61195212485791</v>
      </c>
      <c r="AP99" s="15">
        <v>40.170292682559264</v>
      </c>
      <c r="AQ99" s="15">
        <v>10.497023283962301</v>
      </c>
      <c r="AR99" s="15">
        <v>0</v>
      </c>
      <c r="AS99" s="15">
        <v>0</v>
      </c>
      <c r="AT99" s="15">
        <v>29.673269398596961</v>
      </c>
      <c r="AU99" s="15">
        <v>509.26470642086423</v>
      </c>
      <c r="AV99" s="15">
        <v>61.280874999999988</v>
      </c>
      <c r="AW99" s="15">
        <v>61.280874999999988</v>
      </c>
      <c r="AX99" s="15">
        <v>0</v>
      </c>
      <c r="AY99" s="15">
        <v>0</v>
      </c>
      <c r="AZ99" s="15">
        <v>332.92860738677166</v>
      </c>
      <c r="BA99" s="15">
        <v>76.930878417473068</v>
      </c>
      <c r="BB99" s="15">
        <v>106.66572040387442</v>
      </c>
      <c r="BC99" s="15">
        <v>149.33200856542419</v>
      </c>
      <c r="BD99" s="15">
        <v>0</v>
      </c>
      <c r="BE99" s="15">
        <v>115.05522403409257</v>
      </c>
      <c r="BF99" s="15">
        <v>39.853636043742895</v>
      </c>
      <c r="BG99" s="15">
        <v>1.4723613094253218</v>
      </c>
      <c r="BH99" s="15">
        <v>73.729226680924356</v>
      </c>
      <c r="BI99" s="15">
        <v>0</v>
      </c>
      <c r="BJ99" s="15">
        <v>549.43499910342348</v>
      </c>
      <c r="BK99" s="15">
        <v>691.06606053598273</v>
      </c>
      <c r="BL99" s="15">
        <v>1.9682313526418371</v>
      </c>
      <c r="BM99" s="15">
        <v>0.84941761735644972</v>
      </c>
    </row>
    <row r="100" spans="1:65" x14ac:dyDescent="0.35">
      <c r="A100" s="15" t="s">
        <v>10621</v>
      </c>
      <c r="B100" s="15" t="s">
        <v>10457</v>
      </c>
      <c r="C100" s="15" t="s">
        <v>10574</v>
      </c>
      <c r="D100" s="15" t="s">
        <v>10322</v>
      </c>
      <c r="E100" s="15" t="s">
        <v>10703</v>
      </c>
      <c r="F100" s="15">
        <v>54459</v>
      </c>
      <c r="G100" s="15">
        <v>0.89712693248936548</v>
      </c>
      <c r="H100" s="15">
        <v>200</v>
      </c>
      <c r="I100" s="80">
        <v>1075.1459917528043</v>
      </c>
      <c r="J100" s="81">
        <v>0.2103170907822719</v>
      </c>
      <c r="K100" s="15">
        <v>30</v>
      </c>
      <c r="L100" s="15">
        <v>56.79154403287545</v>
      </c>
      <c r="M100" s="15">
        <v>13.90504925567271</v>
      </c>
      <c r="N100" s="15">
        <v>19.103013057202716</v>
      </c>
      <c r="O100" s="15">
        <v>3.5606965672907718</v>
      </c>
      <c r="P100" s="15">
        <v>7.3965195043846421</v>
      </c>
      <c r="Q100" s="15">
        <v>8.1457969855273067</v>
      </c>
      <c r="R100" s="15">
        <v>1.5234652913119171</v>
      </c>
      <c r="S100" s="15">
        <v>3.1923856997946394</v>
      </c>
      <c r="T100" s="15">
        <v>3.4299459944207489</v>
      </c>
      <c r="U100" s="15">
        <v>0</v>
      </c>
      <c r="V100" s="15">
        <v>0</v>
      </c>
      <c r="W100" s="15">
        <v>579.94646310231155</v>
      </c>
      <c r="X100" s="15">
        <v>0</v>
      </c>
      <c r="Y100" s="15">
        <v>837.24301355741716</v>
      </c>
      <c r="Z100" s="15">
        <v>0</v>
      </c>
      <c r="AA100" s="15">
        <v>537.04200000000003</v>
      </c>
      <c r="AB100" s="15">
        <v>0</v>
      </c>
      <c r="AC100" s="15">
        <v>300.20101355741713</v>
      </c>
      <c r="AD100" s="15">
        <v>-237.90297819538716</v>
      </c>
      <c r="AE100" s="15">
        <v>-11.92783740543396</v>
      </c>
      <c r="AF100" s="15">
        <v>31.746537547131162</v>
      </c>
      <c r="AG100" s="15">
        <v>-365.33867050201769</v>
      </c>
      <c r="AH100" s="15">
        <v>0</v>
      </c>
      <c r="AI100" s="15">
        <v>101.46076874999999</v>
      </c>
      <c r="AJ100" s="15">
        <v>0</v>
      </c>
      <c r="AK100" s="15">
        <v>6.1562234149332449</v>
      </c>
      <c r="AL100" s="15">
        <v>0</v>
      </c>
      <c r="AM100" s="15">
        <v>0</v>
      </c>
      <c r="AN100" s="15">
        <v>-0.79247893062121622</v>
      </c>
      <c r="AO100" s="15">
        <v>1075.1459917528043</v>
      </c>
      <c r="AP100" s="15">
        <v>0</v>
      </c>
      <c r="AQ100" s="15">
        <v>0</v>
      </c>
      <c r="AR100" s="15">
        <v>0</v>
      </c>
      <c r="AS100" s="15">
        <v>0</v>
      </c>
      <c r="AT100" s="15">
        <v>0</v>
      </c>
      <c r="AU100" s="15">
        <v>564.22556890447458</v>
      </c>
      <c r="AV100" s="15">
        <v>61.280874999999988</v>
      </c>
      <c r="AW100" s="15">
        <v>61.280874999999988</v>
      </c>
      <c r="AX100" s="15">
        <v>0</v>
      </c>
      <c r="AY100" s="15">
        <v>0</v>
      </c>
      <c r="AZ100" s="15">
        <v>332.92860738677166</v>
      </c>
      <c r="BA100" s="15">
        <v>76.930878417473068</v>
      </c>
      <c r="BB100" s="15">
        <v>106.66572040387442</v>
      </c>
      <c r="BC100" s="15">
        <v>149.33200856542419</v>
      </c>
      <c r="BD100" s="15">
        <v>0</v>
      </c>
      <c r="BE100" s="15">
        <v>170.01608651770295</v>
      </c>
      <c r="BF100" s="15">
        <v>59.138149195886882</v>
      </c>
      <c r="BG100" s="15">
        <v>1.4723613094253218</v>
      </c>
      <c r="BH100" s="15">
        <v>109.40557601239072</v>
      </c>
      <c r="BI100" s="15">
        <v>0</v>
      </c>
      <c r="BJ100" s="15">
        <v>564.22556890447458</v>
      </c>
      <c r="BK100" s="15">
        <v>326.32259070908742</v>
      </c>
      <c r="BL100" s="15">
        <v>0.75323388975974181</v>
      </c>
      <c r="BM100" s="15">
        <v>0.2103170907822719</v>
      </c>
    </row>
    <row r="101" spans="1:65" x14ac:dyDescent="0.35">
      <c r="A101" s="15" t="s">
        <v>10621</v>
      </c>
      <c r="B101" s="15" t="s">
        <v>10457</v>
      </c>
      <c r="C101" s="15" t="s">
        <v>10574</v>
      </c>
      <c r="D101" s="15" t="s">
        <v>10323</v>
      </c>
      <c r="E101" s="15" t="s">
        <v>10704</v>
      </c>
      <c r="F101" s="15">
        <v>54459</v>
      </c>
      <c r="G101" s="15">
        <v>0.89712693248936548</v>
      </c>
      <c r="H101" s="15">
        <v>200</v>
      </c>
      <c r="I101" s="80">
        <v>728.58281504724175</v>
      </c>
      <c r="J101" s="79">
        <v>0.72077993615195368</v>
      </c>
      <c r="K101" s="15">
        <v>30</v>
      </c>
      <c r="L101" s="15">
        <v>56.79154403287545</v>
      </c>
      <c r="M101" s="15">
        <v>13.90504925567271</v>
      </c>
      <c r="N101" s="15">
        <v>19.103013057202716</v>
      </c>
      <c r="O101" s="15">
        <v>3.5606965672907718</v>
      </c>
      <c r="P101" s="15">
        <v>7.3965195043846421</v>
      </c>
      <c r="Q101" s="15">
        <v>8.1457969855273067</v>
      </c>
      <c r="R101" s="15">
        <v>1.5234652913119171</v>
      </c>
      <c r="S101" s="15">
        <v>3.1923856997946394</v>
      </c>
      <c r="T101" s="15">
        <v>3.4299459944207489</v>
      </c>
      <c r="U101" s="15">
        <v>0</v>
      </c>
      <c r="V101" s="15">
        <v>0</v>
      </c>
      <c r="W101" s="15">
        <v>0</v>
      </c>
      <c r="X101" s="15">
        <v>579946.46310231159</v>
      </c>
      <c r="Y101" s="15">
        <v>837.24301355741716</v>
      </c>
      <c r="Z101" s="15">
        <v>0</v>
      </c>
      <c r="AA101" s="15">
        <v>537.04200000000003</v>
      </c>
      <c r="AB101" s="15">
        <v>0</v>
      </c>
      <c r="AC101" s="15">
        <v>300.20101355741713</v>
      </c>
      <c r="AD101" s="15">
        <v>108.66019851017541</v>
      </c>
      <c r="AE101" s="15">
        <v>-11.92783740543396</v>
      </c>
      <c r="AF101" s="15">
        <v>0</v>
      </c>
      <c r="AG101" s="15">
        <v>0</v>
      </c>
      <c r="AH101" s="15">
        <v>0</v>
      </c>
      <c r="AI101" s="15">
        <v>101.46076874999999</v>
      </c>
      <c r="AJ101" s="15">
        <v>0</v>
      </c>
      <c r="AK101" s="15">
        <v>19.127267165609442</v>
      </c>
      <c r="AL101" s="15">
        <v>0</v>
      </c>
      <c r="AM101" s="15">
        <v>0</v>
      </c>
      <c r="AN101" s="15">
        <v>0.36195813339381949</v>
      </c>
      <c r="AO101" s="15">
        <v>728.58281504724175</v>
      </c>
      <c r="AP101" s="15">
        <v>0</v>
      </c>
      <c r="AQ101" s="15">
        <v>0</v>
      </c>
      <c r="AR101" s="15">
        <v>0</v>
      </c>
      <c r="AS101" s="15">
        <v>0</v>
      </c>
      <c r="AT101" s="15">
        <v>0</v>
      </c>
      <c r="AU101" s="15">
        <v>516.6886899584033</v>
      </c>
      <c r="AV101" s="15">
        <v>61.280874999999988</v>
      </c>
      <c r="AW101" s="15">
        <v>61.280874999999988</v>
      </c>
      <c r="AX101" s="15">
        <v>0</v>
      </c>
      <c r="AY101" s="15">
        <v>0</v>
      </c>
      <c r="AZ101" s="15">
        <v>332.92860738677166</v>
      </c>
      <c r="BA101" s="15">
        <v>76.930878417473068</v>
      </c>
      <c r="BB101" s="15">
        <v>106.66572040387442</v>
      </c>
      <c r="BC101" s="15">
        <v>149.33200856542419</v>
      </c>
      <c r="BD101" s="15">
        <v>0</v>
      </c>
      <c r="BE101" s="15">
        <v>122.47920757163162</v>
      </c>
      <c r="BF101" s="15">
        <v>42.45854254814256</v>
      </c>
      <c r="BG101" s="15">
        <v>1.4723613094253218</v>
      </c>
      <c r="BH101" s="15">
        <v>78.548303714063735</v>
      </c>
      <c r="BI101" s="15">
        <v>0</v>
      </c>
      <c r="BJ101" s="15">
        <v>516.6886899584033</v>
      </c>
      <c r="BK101" s="15">
        <v>625.34888846857871</v>
      </c>
      <c r="BL101" s="15">
        <v>1.7493207923854015</v>
      </c>
      <c r="BM101" s="15">
        <v>0.72077993615195368</v>
      </c>
    </row>
    <row r="102" spans="1:65" x14ac:dyDescent="0.35">
      <c r="A102" s="15" t="s">
        <v>10621</v>
      </c>
      <c r="B102" s="15" t="s">
        <v>10457</v>
      </c>
      <c r="C102" s="15" t="s">
        <v>10574</v>
      </c>
      <c r="D102" s="15" t="s">
        <v>10324</v>
      </c>
      <c r="E102" s="15" t="s">
        <v>10705</v>
      </c>
      <c r="F102" s="15">
        <v>54459</v>
      </c>
      <c r="G102" s="15">
        <v>0.89712693248936548</v>
      </c>
      <c r="H102" s="15">
        <v>200</v>
      </c>
      <c r="I102" s="80">
        <v>716.18109951045324</v>
      </c>
      <c r="J102" s="79">
        <v>0.74898524700974922</v>
      </c>
      <c r="K102" s="15">
        <v>30</v>
      </c>
      <c r="L102" s="15">
        <v>57.215909195328223</v>
      </c>
      <c r="M102" s="15">
        <v>14.032491073448897</v>
      </c>
      <c r="N102" s="15">
        <v>19.103013057202716</v>
      </c>
      <c r="O102" s="15">
        <v>2.6843553947981253</v>
      </c>
      <c r="P102" s="15">
        <v>7.7094984945605871</v>
      </c>
      <c r="Q102" s="15">
        <v>8.709159167844005</v>
      </c>
      <c r="R102" s="15">
        <v>1.5234652913119171</v>
      </c>
      <c r="S102" s="15">
        <v>3.7557478821113399</v>
      </c>
      <c r="T102" s="15">
        <v>3.4299459944207489</v>
      </c>
      <c r="U102" s="15">
        <v>0</v>
      </c>
      <c r="V102" s="15">
        <v>0</v>
      </c>
      <c r="W102" s="15">
        <v>0</v>
      </c>
      <c r="X102" s="15">
        <v>0</v>
      </c>
      <c r="Y102" s="15">
        <v>804.64617534542663</v>
      </c>
      <c r="Z102" s="15">
        <v>0</v>
      </c>
      <c r="AA102" s="15">
        <v>537.04200000000003</v>
      </c>
      <c r="AB102" s="15">
        <v>0</v>
      </c>
      <c r="AC102" s="15">
        <v>267.60417534542665</v>
      </c>
      <c r="AD102" s="15">
        <v>88.465075834973391</v>
      </c>
      <c r="AE102" s="15">
        <v>-12.995692915026606</v>
      </c>
      <c r="AF102" s="15">
        <v>0</v>
      </c>
      <c r="AG102" s="15">
        <v>0</v>
      </c>
      <c r="AH102" s="15">
        <v>0</v>
      </c>
      <c r="AI102" s="15">
        <v>101.46076874999999</v>
      </c>
      <c r="AJ102" s="15">
        <v>0</v>
      </c>
      <c r="AK102" s="15">
        <v>0</v>
      </c>
      <c r="AL102" s="15">
        <v>0</v>
      </c>
      <c r="AM102" s="15">
        <v>0</v>
      </c>
      <c r="AN102" s="15">
        <v>0.33058182190461571</v>
      </c>
      <c r="AO102" s="15">
        <v>716.18109951045324</v>
      </c>
      <c r="AP102" s="15">
        <v>0</v>
      </c>
      <c r="AQ102" s="15">
        <v>0</v>
      </c>
      <c r="AR102" s="15">
        <v>0</v>
      </c>
      <c r="AS102" s="15">
        <v>0</v>
      </c>
      <c r="AT102" s="15">
        <v>0</v>
      </c>
      <c r="AU102" s="15">
        <v>515.54817723100393</v>
      </c>
      <c r="AV102" s="15">
        <v>59.642499999999991</v>
      </c>
      <c r="AW102" s="15">
        <v>59.642499999999991</v>
      </c>
      <c r="AX102" s="15">
        <v>0</v>
      </c>
      <c r="AY102" s="15">
        <v>0</v>
      </c>
      <c r="AZ102" s="15">
        <v>337.91934969446402</v>
      </c>
      <c r="BA102" s="15">
        <v>76.930878417473068</v>
      </c>
      <c r="BB102" s="15">
        <v>108.74519636541288</v>
      </c>
      <c r="BC102" s="15">
        <v>152.24327491157803</v>
      </c>
      <c r="BD102" s="15">
        <v>0</v>
      </c>
      <c r="BE102" s="15">
        <v>117.9863275365399</v>
      </c>
      <c r="BF102" s="15">
        <v>40.882093413022659</v>
      </c>
      <c r="BG102" s="15">
        <v>1.4723613094253218</v>
      </c>
      <c r="BH102" s="15">
        <v>75.631872814091921</v>
      </c>
      <c r="BI102" s="15">
        <v>0</v>
      </c>
      <c r="BJ102" s="15">
        <v>515.54817723100393</v>
      </c>
      <c r="BK102" s="15">
        <v>604.01325306597732</v>
      </c>
      <c r="BL102" s="15">
        <v>2.0044869517754997</v>
      </c>
      <c r="BM102" s="15">
        <v>0.74898524700974922</v>
      </c>
    </row>
    <row r="103" spans="1:65" x14ac:dyDescent="0.35">
      <c r="A103" s="15" t="s">
        <v>10621</v>
      </c>
      <c r="B103" s="15" t="s">
        <v>10457</v>
      </c>
      <c r="C103" s="15" t="s">
        <v>10574</v>
      </c>
      <c r="D103" s="15" t="s">
        <v>10325</v>
      </c>
      <c r="E103" s="15" t="s">
        <v>10706</v>
      </c>
      <c r="F103" s="15">
        <v>54459</v>
      </c>
      <c r="G103" s="15">
        <v>0.89712693248936548</v>
      </c>
      <c r="H103" s="15">
        <v>200</v>
      </c>
      <c r="I103" s="80">
        <v>778.83890753955836</v>
      </c>
      <c r="J103" s="79">
        <v>0.5777046422671851</v>
      </c>
      <c r="K103" s="15">
        <v>30</v>
      </c>
      <c r="L103" s="15">
        <v>53.908912492106609</v>
      </c>
      <c r="M103" s="15">
        <v>12.916553214668946</v>
      </c>
      <c r="N103" s="15">
        <v>19.103013057202716</v>
      </c>
      <c r="O103" s="15">
        <v>4.2809374685864858</v>
      </c>
      <c r="P103" s="15">
        <v>6.6826160276706554</v>
      </c>
      <c r="Q103" s="15">
        <v>8.1394595609455749</v>
      </c>
      <c r="R103" s="15">
        <v>1.5234652913119171</v>
      </c>
      <c r="S103" s="15">
        <v>0</v>
      </c>
      <c r="T103" s="15">
        <v>6.6159942696336591</v>
      </c>
      <c r="U103" s="15">
        <v>0</v>
      </c>
      <c r="V103" s="15">
        <v>0</v>
      </c>
      <c r="W103" s="15">
        <v>0</v>
      </c>
      <c r="X103" s="15">
        <v>0</v>
      </c>
      <c r="Y103" s="15">
        <v>868.09765178408588</v>
      </c>
      <c r="Z103" s="15">
        <v>0</v>
      </c>
      <c r="AA103" s="15">
        <v>537.04200000000003</v>
      </c>
      <c r="AB103" s="15">
        <v>0</v>
      </c>
      <c r="AC103" s="15">
        <v>331.05565178408585</v>
      </c>
      <c r="AD103" s="15">
        <v>89.25874424452752</v>
      </c>
      <c r="AE103" s="15">
        <v>-12.202024505472433</v>
      </c>
      <c r="AF103" s="15">
        <v>0</v>
      </c>
      <c r="AG103" s="15">
        <v>0</v>
      </c>
      <c r="AH103" s="15">
        <v>0</v>
      </c>
      <c r="AI103" s="15">
        <v>101.46076874999999</v>
      </c>
      <c r="AJ103" s="15">
        <v>0</v>
      </c>
      <c r="AK103" s="15">
        <v>0</v>
      </c>
      <c r="AL103" s="15">
        <v>0</v>
      </c>
      <c r="AM103" s="15">
        <v>0</v>
      </c>
      <c r="AN103" s="15">
        <v>0.26961854831205834</v>
      </c>
      <c r="AO103" s="15">
        <v>778.83890753955836</v>
      </c>
      <c r="AP103" s="15">
        <v>0</v>
      </c>
      <c r="AQ103" s="15">
        <v>0</v>
      </c>
      <c r="AR103" s="15">
        <v>0</v>
      </c>
      <c r="AS103" s="15">
        <v>0</v>
      </c>
      <c r="AT103" s="15">
        <v>0</v>
      </c>
      <c r="AU103" s="15">
        <v>491.73576000346418</v>
      </c>
      <c r="AV103" s="15">
        <v>65.018000000000001</v>
      </c>
      <c r="AW103" s="15">
        <v>65.018000000000001</v>
      </c>
      <c r="AX103" s="15">
        <v>0</v>
      </c>
      <c r="AY103" s="15">
        <v>0</v>
      </c>
      <c r="AZ103" s="15">
        <v>299.80269482277674</v>
      </c>
      <c r="BA103" s="15">
        <v>76.930878417473068</v>
      </c>
      <c r="BB103" s="15">
        <v>92.863256835543197</v>
      </c>
      <c r="BC103" s="15">
        <v>130.00855956976048</v>
      </c>
      <c r="BD103" s="15">
        <v>0</v>
      </c>
      <c r="BE103" s="15">
        <v>126.91506518068738</v>
      </c>
      <c r="BF103" s="15">
        <v>44.014983814477915</v>
      </c>
      <c r="BG103" s="15">
        <v>1.4723613094253218</v>
      </c>
      <c r="BH103" s="15">
        <v>81.427720056784139</v>
      </c>
      <c r="BI103" s="15">
        <v>0</v>
      </c>
      <c r="BJ103" s="15">
        <v>491.73576000346418</v>
      </c>
      <c r="BK103" s="15">
        <v>580.9945042479917</v>
      </c>
      <c r="BL103" s="15">
        <v>1.3591033714094556</v>
      </c>
      <c r="BM103" s="15">
        <v>0.5777046422671851</v>
      </c>
    </row>
    <row r="104" spans="1:65" x14ac:dyDescent="0.35">
      <c r="A104" s="15" t="s">
        <v>10621</v>
      </c>
      <c r="B104" s="15" t="s">
        <v>10457</v>
      </c>
      <c r="C104" s="15" t="s">
        <v>10574</v>
      </c>
      <c r="D104" s="15" t="s">
        <v>10326</v>
      </c>
      <c r="E104" s="15" t="s">
        <v>10707</v>
      </c>
      <c r="F104" s="15">
        <v>54459</v>
      </c>
      <c r="G104" s="15">
        <v>0.89712693248936548</v>
      </c>
      <c r="H104" s="15">
        <v>200</v>
      </c>
      <c r="I104" s="80">
        <v>573.27504543838597</v>
      </c>
      <c r="J104" s="79">
        <v>1.9327701022792778</v>
      </c>
      <c r="K104" s="15">
        <v>30</v>
      </c>
      <c r="L104" s="15">
        <v>53.908912492106609</v>
      </c>
      <c r="M104" s="15">
        <v>12.620941010924954</v>
      </c>
      <c r="N104" s="15">
        <v>19.103013057202716</v>
      </c>
      <c r="O104" s="15">
        <v>13.960477238004509</v>
      </c>
      <c r="P104" s="15">
        <v>3.515909553178159</v>
      </c>
      <c r="Q104" s="15">
        <v>1.6266262660200466</v>
      </c>
      <c r="R104" s="15">
        <v>1.6266262660200466</v>
      </c>
      <c r="S104" s="15">
        <v>0</v>
      </c>
      <c r="T104" s="15">
        <v>0</v>
      </c>
      <c r="U104" s="15">
        <v>12112.626740599357</v>
      </c>
      <c r="V104" s="15">
        <v>0</v>
      </c>
      <c r="W104" s="15">
        <v>0</v>
      </c>
      <c r="X104" s="15">
        <v>0</v>
      </c>
      <c r="Y104" s="15">
        <v>1152.5294248974467</v>
      </c>
      <c r="Z104" s="15">
        <v>0</v>
      </c>
      <c r="AA104" s="15">
        <v>537.04200000000003</v>
      </c>
      <c r="AB104" s="15">
        <v>0</v>
      </c>
      <c r="AC104" s="15">
        <v>615.48742489744666</v>
      </c>
      <c r="AD104" s="15">
        <v>579.25437945906071</v>
      </c>
      <c r="AE104" s="15">
        <v>8.23842612879203</v>
      </c>
      <c r="AF104" s="15">
        <v>0</v>
      </c>
      <c r="AG104" s="15">
        <v>0</v>
      </c>
      <c r="AH104" s="15">
        <v>448.01559510082609</v>
      </c>
      <c r="AI104" s="15">
        <v>123.00035822944253</v>
      </c>
      <c r="AJ104" s="15">
        <v>0</v>
      </c>
      <c r="AK104" s="15">
        <v>0</v>
      </c>
      <c r="AL104" s="15">
        <v>0</v>
      </c>
      <c r="AM104" s="15">
        <v>0</v>
      </c>
      <c r="AN104" s="15">
        <v>0.94113113611635013</v>
      </c>
      <c r="AO104" s="15">
        <v>573.27504543838597</v>
      </c>
      <c r="AP104" s="15">
        <v>456.2540212296181</v>
      </c>
      <c r="AQ104" s="15">
        <v>8.23842612879203</v>
      </c>
      <c r="AR104" s="15">
        <v>0</v>
      </c>
      <c r="AS104" s="15">
        <v>0</v>
      </c>
      <c r="AT104" s="15">
        <v>448.01559510082609</v>
      </c>
      <c r="AU104" s="15">
        <v>487.98789241487458</v>
      </c>
      <c r="AV104" s="15">
        <v>81.594999999999999</v>
      </c>
      <c r="AW104" s="15">
        <v>81.594999999999999</v>
      </c>
      <c r="AX104" s="15">
        <v>0</v>
      </c>
      <c r="AY104" s="15">
        <v>0</v>
      </c>
      <c r="AZ104" s="15">
        <v>305.59051441592908</v>
      </c>
      <c r="BA104" s="15">
        <v>82.718698010625417</v>
      </c>
      <c r="BB104" s="15">
        <v>92.863256835543197</v>
      </c>
      <c r="BC104" s="15">
        <v>130.00855956976048</v>
      </c>
      <c r="BD104" s="15">
        <v>0</v>
      </c>
      <c r="BE104" s="15">
        <v>100.80237799894547</v>
      </c>
      <c r="BF104" s="15">
        <v>34.813770183391426</v>
      </c>
      <c r="BG104" s="15">
        <v>1.5831329762799125</v>
      </c>
      <c r="BH104" s="15">
        <v>64.405474839274135</v>
      </c>
      <c r="BI104" s="15">
        <v>0</v>
      </c>
      <c r="BJ104" s="15">
        <v>944.24191364449268</v>
      </c>
      <c r="BK104" s="15">
        <v>1523.4962931035534</v>
      </c>
      <c r="BL104" s="15">
        <v>1.8002136573151348</v>
      </c>
      <c r="BM104" s="15">
        <v>1.9327701022792778</v>
      </c>
    </row>
    <row r="105" spans="1:65" s="60" customFormat="1" x14ac:dyDescent="0.35">
      <c r="A105" s="15" t="s">
        <v>10621</v>
      </c>
      <c r="B105" s="15" t="s">
        <v>10457</v>
      </c>
      <c r="C105" s="15" t="s">
        <v>10574</v>
      </c>
      <c r="D105" s="15" t="s">
        <v>10327</v>
      </c>
      <c r="E105" s="15" t="s">
        <v>10708</v>
      </c>
      <c r="F105" s="15">
        <v>54459</v>
      </c>
      <c r="G105" s="15">
        <v>0.89712693248936548</v>
      </c>
      <c r="H105" s="15">
        <v>200</v>
      </c>
      <c r="I105" s="80">
        <v>1661.1174754189526</v>
      </c>
      <c r="J105" s="81">
        <v>0.1598246313298427</v>
      </c>
      <c r="K105" s="15">
        <v>30</v>
      </c>
      <c r="L105" s="15">
        <v>51.718714126162368</v>
      </c>
      <c r="M105" s="15">
        <v>20.446609196093792</v>
      </c>
      <c r="N105" s="15">
        <v>19.103013057202716</v>
      </c>
      <c r="O105" s="15">
        <v>13.960477238004509</v>
      </c>
      <c r="P105" s="15">
        <v>3.515909553178159</v>
      </c>
      <c r="Q105" s="15">
        <v>1.6266262660200466</v>
      </c>
      <c r="R105" s="15">
        <v>1.6266262660200466</v>
      </c>
      <c r="S105" s="15">
        <v>0</v>
      </c>
      <c r="T105" s="15">
        <v>0</v>
      </c>
      <c r="U105" s="15">
        <v>12112.626740599357</v>
      </c>
      <c r="V105" s="15">
        <v>0</v>
      </c>
      <c r="W105" s="15">
        <v>0</v>
      </c>
      <c r="X105" s="15">
        <v>0</v>
      </c>
      <c r="Y105" s="15">
        <v>2043.1938581161462</v>
      </c>
      <c r="Z105" s="15">
        <v>0</v>
      </c>
      <c r="AA105" s="15">
        <v>537.04200000000003</v>
      </c>
      <c r="AB105" s="15">
        <v>0</v>
      </c>
      <c r="AC105" s="15">
        <v>1506.1518581161461</v>
      </c>
      <c r="AD105" s="15">
        <v>382.07638269719359</v>
      </c>
      <c r="AE105" s="15">
        <v>14.476452339417985</v>
      </c>
      <c r="AF105" s="15">
        <v>0</v>
      </c>
      <c r="AG105" s="15">
        <v>0</v>
      </c>
      <c r="AH105" s="15">
        <v>244.59957212833302</v>
      </c>
      <c r="AI105" s="15">
        <v>123.00035822944253</v>
      </c>
      <c r="AJ105" s="15">
        <v>0</v>
      </c>
      <c r="AK105" s="15">
        <v>0</v>
      </c>
      <c r="AL105" s="15">
        <v>0</v>
      </c>
      <c r="AM105" s="15">
        <v>0</v>
      </c>
      <c r="AN105" s="15">
        <v>0.25367719771304098</v>
      </c>
      <c r="AO105" s="15">
        <v>1661.1174754189526</v>
      </c>
      <c r="AP105" s="15">
        <v>259.07602446775098</v>
      </c>
      <c r="AQ105" s="15">
        <v>14.476452339417985</v>
      </c>
      <c r="AR105" s="15">
        <v>0</v>
      </c>
      <c r="AS105" s="15">
        <v>0</v>
      </c>
      <c r="AT105" s="15">
        <v>244.59957212833302</v>
      </c>
      <c r="AU105" s="15">
        <v>930.48693905559469</v>
      </c>
      <c r="AV105" s="15">
        <v>81.594999999999999</v>
      </c>
      <c r="AW105" s="15">
        <v>81.594999999999999</v>
      </c>
      <c r="AX105" s="15">
        <v>0</v>
      </c>
      <c r="AY105" s="15">
        <v>0</v>
      </c>
      <c r="AZ105" s="15">
        <v>593.07201478441846</v>
      </c>
      <c r="BA105" s="15">
        <v>82.718698010625417</v>
      </c>
      <c r="BB105" s="15">
        <v>212.64721532241376</v>
      </c>
      <c r="BC105" s="15">
        <v>297.70610145137925</v>
      </c>
      <c r="BD105" s="15">
        <v>0</v>
      </c>
      <c r="BE105" s="15">
        <v>255.81992427117623</v>
      </c>
      <c r="BF105" s="15">
        <v>89.205891682419761</v>
      </c>
      <c r="BG105" s="15">
        <v>1.5831329762799125</v>
      </c>
      <c r="BH105" s="15">
        <v>165.03089961247656</v>
      </c>
      <c r="BI105" s="15">
        <v>0</v>
      </c>
      <c r="BJ105" s="15">
        <v>1189.5629635233456</v>
      </c>
      <c r="BK105" s="59">
        <v>1571.6393462205392</v>
      </c>
      <c r="BL105" s="59">
        <v>0.17626873855632175</v>
      </c>
      <c r="BM105" s="59">
        <v>0.1598246313298427</v>
      </c>
    </row>
    <row r="106" spans="1:65" s="60" customFormat="1" x14ac:dyDescent="0.35">
      <c r="A106" s="59" t="s">
        <v>10621</v>
      </c>
      <c r="B106" s="59" t="s">
        <v>10457</v>
      </c>
      <c r="C106" s="59" t="s">
        <v>10675</v>
      </c>
      <c r="D106" s="59" t="s">
        <v>10326</v>
      </c>
      <c r="E106" s="59" t="s">
        <v>10709</v>
      </c>
      <c r="F106" s="59">
        <v>54459</v>
      </c>
      <c r="G106" s="59">
        <v>0.89712693248936548</v>
      </c>
      <c r="H106" s="59">
        <v>200</v>
      </c>
      <c r="I106" s="59">
        <v>573.27504543838597</v>
      </c>
      <c r="J106" s="88">
        <v>1.9327701022792778</v>
      </c>
      <c r="K106" s="59">
        <v>30</v>
      </c>
      <c r="L106" s="59">
        <v>53.908912492106609</v>
      </c>
      <c r="M106" s="59">
        <v>12.620941010924954</v>
      </c>
      <c r="N106" s="59">
        <v>19.103013057202716</v>
      </c>
      <c r="O106" s="59">
        <v>13.960477238004509</v>
      </c>
      <c r="P106" s="59">
        <v>3.515909553178159</v>
      </c>
      <c r="Q106" s="59">
        <v>1.6266262660200466</v>
      </c>
      <c r="R106" s="59">
        <v>1.6266262660200466</v>
      </c>
      <c r="S106" s="59">
        <v>0</v>
      </c>
      <c r="T106" s="59">
        <v>0</v>
      </c>
      <c r="U106" s="59">
        <v>12112.626740599357</v>
      </c>
      <c r="V106" s="59">
        <v>0</v>
      </c>
      <c r="W106" s="59">
        <v>0</v>
      </c>
      <c r="X106" s="59">
        <v>0</v>
      </c>
      <c r="Y106" s="59">
        <v>1152.5294248974467</v>
      </c>
      <c r="Z106" s="59">
        <v>0</v>
      </c>
      <c r="AA106" s="59">
        <v>537.04200000000003</v>
      </c>
      <c r="AB106" s="59">
        <v>0</v>
      </c>
      <c r="AC106" s="59">
        <v>615.48742489744666</v>
      </c>
      <c r="AD106" s="59">
        <v>579.25437945906071</v>
      </c>
      <c r="AE106" s="59">
        <v>8.23842612879203</v>
      </c>
      <c r="AF106" s="59">
        <v>0</v>
      </c>
      <c r="AG106" s="59">
        <v>0</v>
      </c>
      <c r="AH106" s="59">
        <v>448.01559510082609</v>
      </c>
      <c r="AI106" s="59">
        <v>123.00035822944253</v>
      </c>
      <c r="AJ106" s="59">
        <v>0</v>
      </c>
      <c r="AK106" s="59">
        <v>0</v>
      </c>
      <c r="AL106" s="59">
        <v>0</v>
      </c>
      <c r="AM106" s="59">
        <v>0</v>
      </c>
      <c r="AN106" s="59">
        <v>0.94113113611635013</v>
      </c>
      <c r="AO106" s="59">
        <v>573.27504543838597</v>
      </c>
      <c r="AP106" s="59">
        <v>456.2540212296181</v>
      </c>
      <c r="AQ106" s="59">
        <v>8.23842612879203</v>
      </c>
      <c r="AR106" s="59">
        <v>0</v>
      </c>
      <c r="AS106" s="59">
        <v>0</v>
      </c>
      <c r="AT106" s="59">
        <v>448.01559510082609</v>
      </c>
      <c r="AU106" s="59">
        <v>487.98789241487458</v>
      </c>
      <c r="AV106" s="59">
        <v>81.594999999999999</v>
      </c>
      <c r="AW106" s="59">
        <v>81.594999999999999</v>
      </c>
      <c r="AX106" s="59">
        <v>0</v>
      </c>
      <c r="AY106" s="59">
        <v>0</v>
      </c>
      <c r="AZ106" s="59">
        <v>305.59051441592908</v>
      </c>
      <c r="BA106" s="59">
        <v>82.718698010625417</v>
      </c>
      <c r="BB106" s="59">
        <v>92.863256835543197</v>
      </c>
      <c r="BC106" s="59">
        <v>130.00855956976048</v>
      </c>
      <c r="BD106" s="59">
        <v>0</v>
      </c>
      <c r="BE106" s="59">
        <v>100.80237799894547</v>
      </c>
      <c r="BF106" s="59">
        <v>34.813770183391426</v>
      </c>
      <c r="BG106" s="59">
        <v>1.5831329762799125</v>
      </c>
      <c r="BH106" s="59">
        <v>64.405474839274135</v>
      </c>
      <c r="BI106" s="59">
        <v>0</v>
      </c>
      <c r="BJ106" s="59">
        <v>944.24191364449268</v>
      </c>
      <c r="BK106" s="59">
        <v>1523.4962931035534</v>
      </c>
      <c r="BL106" s="59">
        <v>1.8002136573151348</v>
      </c>
      <c r="BM106" s="59">
        <v>1.9327701022792778</v>
      </c>
    </row>
    <row r="107" spans="1:65" s="56" customFormat="1" x14ac:dyDescent="0.35">
      <c r="A107" s="55" t="s">
        <v>10621</v>
      </c>
      <c r="B107" s="55" t="s">
        <v>10677</v>
      </c>
      <c r="C107" s="55" t="s">
        <v>9780</v>
      </c>
      <c r="D107" s="55" t="s">
        <v>9780</v>
      </c>
      <c r="E107" s="55" t="s">
        <v>10015</v>
      </c>
      <c r="F107" s="55">
        <f>F98</f>
        <v>18919</v>
      </c>
      <c r="G107" s="55">
        <f>G98</f>
        <v>0.89712986944341666</v>
      </c>
      <c r="H107" s="55">
        <f>(H98*N98+H106*N106)/(N98+N106)</f>
        <v>200</v>
      </c>
      <c r="I107" s="55">
        <f>(I98*N98+I106*N106)/(N98+N106)</f>
        <v>361.20204636638238</v>
      </c>
      <c r="J107" s="89">
        <f>(J98*N98+J106*N106)/(N98+N106)</f>
        <v>-0.90546677019226829</v>
      </c>
      <c r="K107" s="55">
        <f>K98</f>
        <v>30</v>
      </c>
      <c r="L107" s="55">
        <f t="shared" ref="L107:W107" si="8">L98+L106</f>
        <v>63.908912492106609</v>
      </c>
      <c r="M107" s="55">
        <f t="shared" si="8"/>
        <v>17.77016849936836</v>
      </c>
      <c r="N107" s="55">
        <f t="shared" si="8"/>
        <v>25.739401664939738</v>
      </c>
      <c r="O107" s="55">
        <f t="shared" si="8"/>
        <v>18.81034839829945</v>
      </c>
      <c r="P107" s="55">
        <f t="shared" si="8"/>
        <v>4.737336876432158</v>
      </c>
      <c r="Q107" s="55">
        <f t="shared" si="8"/>
        <v>2.1917163902081289</v>
      </c>
      <c r="R107" s="55">
        <f t="shared" si="8"/>
        <v>2.1917163902081289</v>
      </c>
      <c r="S107" s="55">
        <f t="shared" si="8"/>
        <v>0</v>
      </c>
      <c r="T107" s="55">
        <f t="shared" si="8"/>
        <v>0</v>
      </c>
      <c r="U107" s="55">
        <f t="shared" si="8"/>
        <v>16320.55445704804</v>
      </c>
      <c r="V107" s="55">
        <f t="shared" si="8"/>
        <v>0</v>
      </c>
      <c r="W107" s="55">
        <f t="shared" si="8"/>
        <v>0</v>
      </c>
      <c r="X107" s="55">
        <f>(X98*N98+X106*N106)/(N98+N106)</f>
        <v>0</v>
      </c>
      <c r="Y107" s="55">
        <f>(Y98*N98+Y106*N106)/(N98+N106)</f>
        <v>1128.7669334777549</v>
      </c>
      <c r="Z107" s="55">
        <f>(Z98*N98+Z106*N106)/(N98+N106)</f>
        <v>0</v>
      </c>
      <c r="AA107" s="55">
        <f>(AA98*N98+AA106*N106)/(N98+N106)</f>
        <v>507.44234841323436</v>
      </c>
      <c r="AB107" s="55">
        <f>(AB98*N98+AB106*N106)/(N98+N106)</f>
        <v>7.9612731522360169</v>
      </c>
      <c r="AC107" s="55">
        <f>(AC98*N98+AC106*N106)/(N98+N106)</f>
        <v>613.36331191228464</v>
      </c>
      <c r="AD107" s="55">
        <f>(AD98*N98+AD106*N106)/(N98+N106)</f>
        <v>767.56488711137263</v>
      </c>
      <c r="AE107" s="55">
        <f>(AE98*N98+AE106*N106)/(N98+N106)</f>
        <v>6.1143131436300475</v>
      </c>
      <c r="AF107" s="55">
        <f>(AF98*N98+AF106*N106)/(N98+N106)</f>
        <v>0</v>
      </c>
      <c r="AG107" s="55">
        <f>(AG98*N98+AG106*N106)/(N98+N106)</f>
        <v>0</v>
      </c>
      <c r="AH107" s="55">
        <f>(AH98*N98+AH106*N106)/(N98+N106)</f>
        <v>638.45021573829979</v>
      </c>
      <c r="AI107" s="55">
        <f>(AI98*N98+AI106*N106)/(N98+N106)</f>
        <v>123.00035822944251</v>
      </c>
      <c r="AJ107" s="55">
        <f>(AJ98*N98+AJ106*N106)/(N98+N106)</f>
        <v>0</v>
      </c>
      <c r="AK107" s="55">
        <f>(AK98*N98+AK106*N106)/(N98+N106)</f>
        <v>0</v>
      </c>
      <c r="AL107" s="55">
        <f>(AL98*N98+AL106*N106)/(N98+N106)</f>
        <v>0</v>
      </c>
      <c r="AM107" s="55">
        <f>(AM98*N98+AM106*N106)/(N98+N106)</f>
        <v>0</v>
      </c>
      <c r="AN107" s="55">
        <f>(AN98*N98+AN106*N106)/(N98+N106)</f>
        <v>1.254527414916605</v>
      </c>
      <c r="AO107" s="55">
        <f>(AO98*N98+AO106*N106)/(N98+N106)</f>
        <v>361.20204636638238</v>
      </c>
      <c r="AP107" s="55">
        <f>(AP98*N98+AP106*N106)/(N98+N106)</f>
        <v>644.56452888192996</v>
      </c>
      <c r="AQ107" s="55">
        <f>(AQ98*N98+AQ106*N106)/(N98+N106)</f>
        <v>6.1143131436300475</v>
      </c>
      <c r="AR107" s="55">
        <f>(AR98*N98+AR106*N106)/(N98+N106)</f>
        <v>0</v>
      </c>
      <c r="AS107" s="55">
        <f>(AS98*N98+AS106*N106)/(N98+N106)</f>
        <v>0</v>
      </c>
      <c r="AT107" s="55">
        <f>(AT98*N98+AT106*N106)/(N98+N106)</f>
        <v>638.45021573829979</v>
      </c>
      <c r="AU107" s="55">
        <f>(AU98*N98+AU106*N106)/(N98+N106)</f>
        <v>406.8004619120947</v>
      </c>
      <c r="AV107" s="55">
        <f>(AV98*N98+AV106*N106)/(N98+N106)</f>
        <v>88.091000828566962</v>
      </c>
      <c r="AW107" s="55">
        <f>(AW98*N98+AW106*N106)/(N98+N106)</f>
        <v>88.091000828566962</v>
      </c>
      <c r="AX107" s="55">
        <f>(AX98*N98+AX106*N106)/(N98+N106)</f>
        <v>0</v>
      </c>
      <c r="AY107" s="55">
        <f>(AY98*N98+AY106*N106)/(N98+N106)</f>
        <v>0</v>
      </c>
      <c r="AZ107" s="55">
        <f>(AZ98*N98+AZ106*N106)/(N98+N106)</f>
        <v>248.12748545234277</v>
      </c>
      <c r="BA107" s="55">
        <f>(BA98*N98+BA106*N106)/(N98+N106)</f>
        <v>82.718698010625445</v>
      </c>
      <c r="BB107" s="55">
        <f>(BB98*N98+BB106*N106)/(N98+N106)</f>
        <v>68.920328100715565</v>
      </c>
      <c r="BC107" s="55">
        <f>(BC98*N98+BC106*N106)/(N98+N106)</f>
        <v>96.488459341001786</v>
      </c>
      <c r="BD107" s="55">
        <f>(BD98*N98+BD106*N106)/(N98+N106)</f>
        <v>0</v>
      </c>
      <c r="BE107" s="55">
        <f>(BE98*N98+BE106*N106)/(N98+N106)</f>
        <v>70.581975631184974</v>
      </c>
      <c r="BF107" s="55">
        <f>(BF98*N98+BF106*N106)/(N98+N106)</f>
        <v>24.210120229791247</v>
      </c>
      <c r="BG107" s="55">
        <f>(BG98*N98+BG106*N106)/(N98+N106)</f>
        <v>1.5831329762799125</v>
      </c>
      <c r="BH107" s="55">
        <f>(BH98*N98+BH106*N106)/(N98+N106)</f>
        <v>44.788722425113811</v>
      </c>
      <c r="BI107" s="55">
        <f>(BI98*N98+BI106*N106)/(N98+N106)</f>
        <v>0</v>
      </c>
      <c r="BJ107" s="55">
        <f>(BJ98*N98+BJ106*N106)/(N98+N106)</f>
        <v>1051.3649907940246</v>
      </c>
      <c r="BK107" s="55">
        <f>(BK98*N98+BK106*N106)/(N98+N106)</f>
        <v>1818.9298779053972</v>
      </c>
      <c r="BL107" s="55">
        <f>(BL98*N98+BL106*N106)/(N98+N106)</f>
        <v>2.2965200416874421</v>
      </c>
      <c r="BM107" s="55">
        <f>(BM98*N98+BM106*N106)/(N98+N106)</f>
        <v>-0.90546677019226829</v>
      </c>
    </row>
    <row r="108" spans="1:65" x14ac:dyDescent="0.35">
      <c r="A108" s="15" t="s">
        <v>10601</v>
      </c>
      <c r="B108" s="15" t="s">
        <v>10320</v>
      </c>
      <c r="C108" s="15" t="s">
        <v>10575</v>
      </c>
      <c r="D108" s="15" t="s">
        <v>10321</v>
      </c>
      <c r="E108" s="15" t="s">
        <v>10710</v>
      </c>
      <c r="F108" s="15">
        <v>56893</v>
      </c>
      <c r="G108" s="15">
        <v>0.8971338410074764</v>
      </c>
      <c r="H108" s="15">
        <v>200</v>
      </c>
      <c r="I108" s="80">
        <v>717.48095212485782</v>
      </c>
      <c r="J108" s="79">
        <v>0.96776688894336105</v>
      </c>
      <c r="K108" s="15">
        <v>30</v>
      </c>
      <c r="L108" s="15">
        <v>87.996430640534783</v>
      </c>
      <c r="M108" s="15">
        <v>16.745019315930417</v>
      </c>
      <c r="N108" s="15">
        <v>19.956960120698287</v>
      </c>
      <c r="O108" s="15">
        <v>3.3292101088548294</v>
      </c>
      <c r="P108" s="15">
        <v>7.7271603353333207</v>
      </c>
      <c r="Q108" s="15">
        <v>8.9005896765101387</v>
      </c>
      <c r="R108" s="15">
        <v>1.9822250639883572</v>
      </c>
      <c r="S108" s="15">
        <v>3.3350924228504031</v>
      </c>
      <c r="T108" s="15">
        <v>3.5832721896713773</v>
      </c>
      <c r="U108" s="15">
        <v>0</v>
      </c>
      <c r="V108" s="15">
        <v>2423.4854264330684</v>
      </c>
      <c r="W108" s="15">
        <v>0</v>
      </c>
      <c r="X108" s="15">
        <v>0</v>
      </c>
      <c r="Y108" s="15">
        <v>859.11201355741707</v>
      </c>
      <c r="Z108" s="15">
        <v>0</v>
      </c>
      <c r="AA108" s="15">
        <v>558.91099999999994</v>
      </c>
      <c r="AB108" s="15">
        <v>0</v>
      </c>
      <c r="AC108" s="15">
        <v>300.20101355741713</v>
      </c>
      <c r="AD108" s="15">
        <v>141.63106143255925</v>
      </c>
      <c r="AE108" s="15">
        <v>10.497023283962298</v>
      </c>
      <c r="AF108" s="15">
        <v>0</v>
      </c>
      <c r="AG108" s="15">
        <v>0</v>
      </c>
      <c r="AH108" s="15">
        <v>29.673269398596947</v>
      </c>
      <c r="AI108" s="15">
        <v>101.46076875</v>
      </c>
      <c r="AJ108" s="15">
        <v>0</v>
      </c>
      <c r="AK108" s="15">
        <v>0</v>
      </c>
      <c r="AL108" s="15">
        <v>0</v>
      </c>
      <c r="AM108" s="15">
        <v>0</v>
      </c>
      <c r="AN108" s="15">
        <v>0.47178741921692602</v>
      </c>
      <c r="AO108" s="15">
        <v>717.48095212485782</v>
      </c>
      <c r="AP108" s="15">
        <v>40.170292682559243</v>
      </c>
      <c r="AQ108" s="15">
        <v>10.497023283962298</v>
      </c>
      <c r="AR108" s="15">
        <v>0</v>
      </c>
      <c r="AS108" s="15">
        <v>0</v>
      </c>
      <c r="AT108" s="15">
        <v>29.673269398596947</v>
      </c>
      <c r="AU108" s="15">
        <v>612.75396835629294</v>
      </c>
      <c r="AV108" s="15">
        <v>111.23479179513285</v>
      </c>
      <c r="AW108" s="15">
        <v>111.23479179513285</v>
      </c>
      <c r="AX108" s="15">
        <v>0</v>
      </c>
      <c r="AY108" s="15">
        <v>0</v>
      </c>
      <c r="AZ108" s="15">
        <v>363.2213659436818</v>
      </c>
      <c r="BA108" s="15">
        <v>76.930878417473039</v>
      </c>
      <c r="BB108" s="15">
        <v>119.28770313592032</v>
      </c>
      <c r="BC108" s="15">
        <v>167.00278439028844</v>
      </c>
      <c r="BD108" s="15">
        <v>0</v>
      </c>
      <c r="BE108" s="15">
        <v>138.29781061747823</v>
      </c>
      <c r="BF108" s="15">
        <v>48.008929581772954</v>
      </c>
      <c r="BG108" s="15">
        <v>1.4723613094253214</v>
      </c>
      <c r="BH108" s="15">
        <v>88.816519726279964</v>
      </c>
      <c r="BI108" s="15">
        <v>0</v>
      </c>
      <c r="BJ108" s="15">
        <v>652.92426103885214</v>
      </c>
      <c r="BK108" s="15">
        <v>794.55532247141139</v>
      </c>
      <c r="BL108" s="15">
        <v>2.3129645722571501</v>
      </c>
      <c r="BM108" s="15">
        <v>0.96776688894336105</v>
      </c>
    </row>
    <row r="109" spans="1:65" x14ac:dyDescent="0.35">
      <c r="A109" s="15" t="s">
        <v>10601</v>
      </c>
      <c r="B109" s="15" t="s">
        <v>10320</v>
      </c>
      <c r="C109" s="15" t="s">
        <v>10575</v>
      </c>
      <c r="D109" s="15" t="s">
        <v>10322</v>
      </c>
      <c r="E109" s="15" t="s">
        <v>10711</v>
      </c>
      <c r="F109" s="15">
        <v>56893</v>
      </c>
      <c r="G109" s="15">
        <v>0.8971338410074764</v>
      </c>
      <c r="H109" s="15">
        <v>200</v>
      </c>
      <c r="I109" s="80">
        <v>1081.2524442740489</v>
      </c>
      <c r="J109" s="81">
        <v>0.31753852872667077</v>
      </c>
      <c r="K109" s="15">
        <v>30</v>
      </c>
      <c r="L109" s="15">
        <v>87.996430640534783</v>
      </c>
      <c r="M109" s="15">
        <v>16.745019315930417</v>
      </c>
      <c r="N109" s="15">
        <v>19.956960120698287</v>
      </c>
      <c r="O109" s="15">
        <v>3.3292101088548294</v>
      </c>
      <c r="P109" s="15">
        <v>7.7271603353333207</v>
      </c>
      <c r="Q109" s="15">
        <v>8.9005896765101387</v>
      </c>
      <c r="R109" s="15">
        <v>1.9822250639883572</v>
      </c>
      <c r="S109" s="15">
        <v>3.3350924228504031</v>
      </c>
      <c r="T109" s="15">
        <v>3.5832721896713773</v>
      </c>
      <c r="U109" s="15">
        <v>0</v>
      </c>
      <c r="V109" s="15">
        <v>0</v>
      </c>
      <c r="W109" s="15">
        <v>605.87135660826709</v>
      </c>
      <c r="X109" s="15">
        <v>0</v>
      </c>
      <c r="Y109" s="15">
        <v>859.11201355741707</v>
      </c>
      <c r="Z109" s="15">
        <v>0</v>
      </c>
      <c r="AA109" s="15">
        <v>558.91099999999994</v>
      </c>
      <c r="AB109" s="15">
        <v>0</v>
      </c>
      <c r="AC109" s="15">
        <v>300.20101355741713</v>
      </c>
      <c r="AD109" s="15">
        <v>-222.14043071663184</v>
      </c>
      <c r="AE109" s="15">
        <v>-11.927837405433957</v>
      </c>
      <c r="AF109" s="15">
        <v>30.388121117446168</v>
      </c>
      <c r="AG109" s="15">
        <v>-349.7060349217619</v>
      </c>
      <c r="AH109" s="15">
        <v>0</v>
      </c>
      <c r="AI109" s="15">
        <v>101.46076875</v>
      </c>
      <c r="AJ109" s="15">
        <v>0</v>
      </c>
      <c r="AK109" s="15">
        <v>7.6445517431180843</v>
      </c>
      <c r="AL109" s="15">
        <v>0</v>
      </c>
      <c r="AM109" s="15">
        <v>0</v>
      </c>
      <c r="AN109" s="15">
        <v>-0.73997228751576072</v>
      </c>
      <c r="AO109" s="15">
        <v>1081.2524442740489</v>
      </c>
      <c r="AP109" s="15">
        <v>0</v>
      </c>
      <c r="AQ109" s="15">
        <v>0</v>
      </c>
      <c r="AR109" s="15">
        <v>0</v>
      </c>
      <c r="AS109" s="15">
        <v>0</v>
      </c>
      <c r="AT109" s="15">
        <v>0</v>
      </c>
      <c r="AU109" s="15">
        <v>665.68075461094702</v>
      </c>
      <c r="AV109" s="15">
        <v>111.23479179513285</v>
      </c>
      <c r="AW109" s="15">
        <v>111.23479179513285</v>
      </c>
      <c r="AX109" s="15">
        <v>0</v>
      </c>
      <c r="AY109" s="15">
        <v>0</v>
      </c>
      <c r="AZ109" s="15">
        <v>363.2213659436818</v>
      </c>
      <c r="BA109" s="15">
        <v>76.930878417473039</v>
      </c>
      <c r="BB109" s="15">
        <v>119.28770313592032</v>
      </c>
      <c r="BC109" s="15">
        <v>167.00278439028844</v>
      </c>
      <c r="BD109" s="15">
        <v>0</v>
      </c>
      <c r="BE109" s="15">
        <v>191.22459687213231</v>
      </c>
      <c r="BF109" s="15">
        <v>66.579731776388414</v>
      </c>
      <c r="BG109" s="15">
        <v>1.4723613094253214</v>
      </c>
      <c r="BH109" s="15">
        <v>123.17250378631857</v>
      </c>
      <c r="BI109" s="15">
        <v>0</v>
      </c>
      <c r="BJ109" s="15">
        <v>665.68075461094702</v>
      </c>
      <c r="BK109" s="15">
        <v>443.54032389431518</v>
      </c>
      <c r="BL109" s="15">
        <v>1.1436980384186151</v>
      </c>
      <c r="BM109" s="15">
        <v>0.31753852872667077</v>
      </c>
    </row>
    <row r="110" spans="1:65" x14ac:dyDescent="0.35">
      <c r="A110" s="15" t="s">
        <v>10601</v>
      </c>
      <c r="B110" s="15" t="s">
        <v>10320</v>
      </c>
      <c r="C110" s="15" t="s">
        <v>10575</v>
      </c>
      <c r="D110" s="15" t="s">
        <v>10323</v>
      </c>
      <c r="E110" s="15" t="s">
        <v>10712</v>
      </c>
      <c r="F110" s="15">
        <v>56893</v>
      </c>
      <c r="G110" s="15">
        <v>0.8971338410074764</v>
      </c>
      <c r="H110" s="15">
        <v>200</v>
      </c>
      <c r="I110" s="80">
        <v>749.51851036265634</v>
      </c>
      <c r="J110" s="79">
        <v>0.83996650226364178</v>
      </c>
      <c r="K110" s="15">
        <v>30</v>
      </c>
      <c r="L110" s="15">
        <v>87.996430640534783</v>
      </c>
      <c r="M110" s="15">
        <v>16.745019315930417</v>
      </c>
      <c r="N110" s="15">
        <v>19.956960120698287</v>
      </c>
      <c r="O110" s="15">
        <v>3.3292101088548294</v>
      </c>
      <c r="P110" s="15">
        <v>7.7271603353333207</v>
      </c>
      <c r="Q110" s="15">
        <v>8.9005896765101387</v>
      </c>
      <c r="R110" s="15">
        <v>1.9822250639883572</v>
      </c>
      <c r="S110" s="15">
        <v>3.3350924228504031</v>
      </c>
      <c r="T110" s="15">
        <v>3.5832721896713773</v>
      </c>
      <c r="U110" s="15">
        <v>0</v>
      </c>
      <c r="V110" s="15">
        <v>0</v>
      </c>
      <c r="W110" s="15">
        <v>0</v>
      </c>
      <c r="X110" s="15">
        <v>605871.35660826706</v>
      </c>
      <c r="Y110" s="15">
        <v>859.11201355741707</v>
      </c>
      <c r="Z110" s="15">
        <v>0</v>
      </c>
      <c r="AA110" s="15">
        <v>558.91099999999994</v>
      </c>
      <c r="AB110" s="15">
        <v>0</v>
      </c>
      <c r="AC110" s="15">
        <v>300.20101355741713</v>
      </c>
      <c r="AD110" s="15">
        <v>109.59350319476073</v>
      </c>
      <c r="AE110" s="15">
        <v>-11.927837405433957</v>
      </c>
      <c r="AF110" s="15">
        <v>0</v>
      </c>
      <c r="AG110" s="15">
        <v>0</v>
      </c>
      <c r="AH110" s="15">
        <v>0</v>
      </c>
      <c r="AI110" s="15">
        <v>101.46076875</v>
      </c>
      <c r="AJ110" s="15">
        <v>0</v>
      </c>
      <c r="AK110" s="15">
        <v>20.060571850194638</v>
      </c>
      <c r="AL110" s="15">
        <v>0</v>
      </c>
      <c r="AM110" s="15">
        <v>0</v>
      </c>
      <c r="AN110" s="15">
        <v>0.36506706588383864</v>
      </c>
      <c r="AO110" s="15">
        <v>749.51851036265634</v>
      </c>
      <c r="AP110" s="15">
        <v>0</v>
      </c>
      <c r="AQ110" s="15">
        <v>0</v>
      </c>
      <c r="AR110" s="15">
        <v>0</v>
      </c>
      <c r="AS110" s="15">
        <v>0</v>
      </c>
      <c r="AT110" s="15">
        <v>0</v>
      </c>
      <c r="AU110" s="15">
        <v>620.17795189383196</v>
      </c>
      <c r="AV110" s="15">
        <v>111.23479179513285</v>
      </c>
      <c r="AW110" s="15">
        <v>111.23479179513285</v>
      </c>
      <c r="AX110" s="15">
        <v>0</v>
      </c>
      <c r="AY110" s="15">
        <v>0</v>
      </c>
      <c r="AZ110" s="15">
        <v>363.2213659436818</v>
      </c>
      <c r="BA110" s="15">
        <v>76.930878417473039</v>
      </c>
      <c r="BB110" s="15">
        <v>119.28770313592032</v>
      </c>
      <c r="BC110" s="15">
        <v>167.00278439028844</v>
      </c>
      <c r="BD110" s="15">
        <v>0</v>
      </c>
      <c r="BE110" s="15">
        <v>145.72179415501728</v>
      </c>
      <c r="BF110" s="15">
        <v>50.613836086172611</v>
      </c>
      <c r="BG110" s="15">
        <v>1.4723613094253214</v>
      </c>
      <c r="BH110" s="15">
        <v>93.635596759419329</v>
      </c>
      <c r="BI110" s="15">
        <v>0</v>
      </c>
      <c r="BJ110" s="15">
        <v>620.17795189383196</v>
      </c>
      <c r="BK110" s="15">
        <v>729.77145508859269</v>
      </c>
      <c r="BL110" s="15">
        <v>2.0971629444907336</v>
      </c>
      <c r="BM110" s="15">
        <v>0.83996650226364178</v>
      </c>
    </row>
    <row r="111" spans="1:65" x14ac:dyDescent="0.35">
      <c r="A111" s="15" t="s">
        <v>10601</v>
      </c>
      <c r="B111" s="15" t="s">
        <v>10320</v>
      </c>
      <c r="C111" s="15" t="s">
        <v>10575</v>
      </c>
      <c r="D111" s="15" t="s">
        <v>10324</v>
      </c>
      <c r="E111" s="15" t="s">
        <v>10713</v>
      </c>
      <c r="F111" s="15">
        <v>56893</v>
      </c>
      <c r="G111" s="15">
        <v>0.8971338410074764</v>
      </c>
      <c r="H111" s="15">
        <v>200</v>
      </c>
      <c r="I111" s="80">
        <v>738.05009951045304</v>
      </c>
      <c r="J111" s="79">
        <v>0.86426555611451372</v>
      </c>
      <c r="K111" s="15">
        <v>30</v>
      </c>
      <c r="L111" s="15">
        <v>88.585560029804668</v>
      </c>
      <c r="M111" s="15">
        <v>16.870807676777744</v>
      </c>
      <c r="N111" s="15">
        <v>19.956960120698287</v>
      </c>
      <c r="O111" s="15">
        <v>2.4136945417978555</v>
      </c>
      <c r="P111" s="15">
        <v>8.0541301807108123</v>
      </c>
      <c r="Q111" s="15">
        <v>9.4891353981896192</v>
      </c>
      <c r="R111" s="15">
        <v>1.9822250639883572</v>
      </c>
      <c r="S111" s="15">
        <v>3.9236381445298858</v>
      </c>
      <c r="T111" s="15">
        <v>3.5832721896713773</v>
      </c>
      <c r="U111" s="15">
        <v>0</v>
      </c>
      <c r="V111" s="15">
        <v>0</v>
      </c>
      <c r="W111" s="15">
        <v>0</v>
      </c>
      <c r="X111" s="15">
        <v>0</v>
      </c>
      <c r="Y111" s="15">
        <v>826.51517534542654</v>
      </c>
      <c r="Z111" s="15">
        <v>0</v>
      </c>
      <c r="AA111" s="15">
        <v>558.91099999999994</v>
      </c>
      <c r="AB111" s="15">
        <v>0</v>
      </c>
      <c r="AC111" s="15">
        <v>267.60417534542665</v>
      </c>
      <c r="AD111" s="15">
        <v>88.465075834973504</v>
      </c>
      <c r="AE111" s="15">
        <v>-12.995692915026602</v>
      </c>
      <c r="AF111" s="15">
        <v>0</v>
      </c>
      <c r="AG111" s="15">
        <v>0</v>
      </c>
      <c r="AH111" s="15">
        <v>0</v>
      </c>
      <c r="AI111" s="15">
        <v>101.46076875</v>
      </c>
      <c r="AJ111" s="15">
        <v>0</v>
      </c>
      <c r="AK111" s="15">
        <v>0</v>
      </c>
      <c r="AL111" s="15">
        <v>0</v>
      </c>
      <c r="AM111" s="15">
        <v>0</v>
      </c>
      <c r="AN111" s="15">
        <v>0.33058182190461616</v>
      </c>
      <c r="AO111" s="15">
        <v>738.05009951045304</v>
      </c>
      <c r="AP111" s="15">
        <v>0</v>
      </c>
      <c r="AQ111" s="15">
        <v>0</v>
      </c>
      <c r="AR111" s="15">
        <v>0</v>
      </c>
      <c r="AS111" s="15">
        <v>0</v>
      </c>
      <c r="AT111" s="15">
        <v>0</v>
      </c>
      <c r="AU111" s="15">
        <v>617.01037920422709</v>
      </c>
      <c r="AV111" s="15">
        <v>107.55772091449487</v>
      </c>
      <c r="AW111" s="15">
        <v>107.55772091449487</v>
      </c>
      <c r="AX111" s="15">
        <v>0</v>
      </c>
      <c r="AY111" s="15">
        <v>0</v>
      </c>
      <c r="AZ111" s="15">
        <v>368.35525386737493</v>
      </c>
      <c r="BA111" s="15">
        <v>76.930878417473039</v>
      </c>
      <c r="BB111" s="15">
        <v>121.42682310412577</v>
      </c>
      <c r="BC111" s="15">
        <v>169.99755234577609</v>
      </c>
      <c r="BD111" s="15">
        <v>0</v>
      </c>
      <c r="BE111" s="15">
        <v>141.09740442235733</v>
      </c>
      <c r="BF111" s="15">
        <v>48.991243197519999</v>
      </c>
      <c r="BG111" s="15">
        <v>1.4723613094253214</v>
      </c>
      <c r="BH111" s="15">
        <v>90.633799915411998</v>
      </c>
      <c r="BI111" s="15">
        <v>0</v>
      </c>
      <c r="BJ111" s="15">
        <v>617.01037920422709</v>
      </c>
      <c r="BK111" s="15">
        <v>705.4754550392006</v>
      </c>
      <c r="BL111" s="15">
        <v>2.3836372465803346</v>
      </c>
      <c r="BM111" s="15">
        <v>0.86426555611451372</v>
      </c>
    </row>
    <row r="112" spans="1:65" x14ac:dyDescent="0.35">
      <c r="A112" s="15" t="s">
        <v>10601</v>
      </c>
      <c r="B112" s="15" t="s">
        <v>10320</v>
      </c>
      <c r="C112" s="15" t="s">
        <v>10575</v>
      </c>
      <c r="D112" s="15" t="s">
        <v>10325</v>
      </c>
      <c r="E112" s="15" t="s">
        <v>10714</v>
      </c>
      <c r="F112" s="15">
        <v>56893</v>
      </c>
      <c r="G112" s="15">
        <v>0.8971338410074764</v>
      </c>
      <c r="H112" s="15">
        <v>200</v>
      </c>
      <c r="I112" s="80">
        <v>800.70790753955816</v>
      </c>
      <c r="J112" s="79">
        <v>0.6975025432792562</v>
      </c>
      <c r="K112" s="15">
        <v>30</v>
      </c>
      <c r="L112" s="15">
        <v>84.652434695469708</v>
      </c>
      <c r="M112" s="15">
        <v>15.745428706410822</v>
      </c>
      <c r="N112" s="15">
        <v>19.956960120698287</v>
      </c>
      <c r="O112" s="15">
        <v>4.0816473762855177</v>
      </c>
      <c r="P112" s="15">
        <v>6.9813437894226755</v>
      </c>
      <c r="Q112" s="15">
        <v>8.8939689549900969</v>
      </c>
      <c r="R112" s="15">
        <v>1.9822250639883572</v>
      </c>
      <c r="S112" s="15">
        <v>0</v>
      </c>
      <c r="T112" s="15">
        <v>6.9117438910017412</v>
      </c>
      <c r="U112" s="15">
        <v>0</v>
      </c>
      <c r="V112" s="15">
        <v>0</v>
      </c>
      <c r="W112" s="15">
        <v>0</v>
      </c>
      <c r="X112" s="15">
        <v>0</v>
      </c>
      <c r="Y112" s="15">
        <v>889.9666517840858</v>
      </c>
      <c r="Z112" s="15">
        <v>0</v>
      </c>
      <c r="AA112" s="15">
        <v>558.91099999999994</v>
      </c>
      <c r="AB112" s="15">
        <v>0</v>
      </c>
      <c r="AC112" s="15">
        <v>331.05565178408585</v>
      </c>
      <c r="AD112" s="15">
        <v>89.258744244527634</v>
      </c>
      <c r="AE112" s="15">
        <v>-12.202024505472432</v>
      </c>
      <c r="AF112" s="15">
        <v>0</v>
      </c>
      <c r="AG112" s="15">
        <v>0</v>
      </c>
      <c r="AH112" s="15">
        <v>0</v>
      </c>
      <c r="AI112" s="15">
        <v>101.46076875</v>
      </c>
      <c r="AJ112" s="15">
        <v>0</v>
      </c>
      <c r="AK112" s="15">
        <v>0</v>
      </c>
      <c r="AL112" s="15">
        <v>0</v>
      </c>
      <c r="AM112" s="15">
        <v>0</v>
      </c>
      <c r="AN112" s="15">
        <v>0.26961854831205873</v>
      </c>
      <c r="AO112" s="15">
        <v>800.70790753955816</v>
      </c>
      <c r="AP112" s="15">
        <v>0</v>
      </c>
      <c r="AQ112" s="15">
        <v>0</v>
      </c>
      <c r="AR112" s="15">
        <v>0</v>
      </c>
      <c r="AS112" s="15">
        <v>0</v>
      </c>
      <c r="AT112" s="15">
        <v>0</v>
      </c>
      <c r="AU112" s="15">
        <v>600.29270947221153</v>
      </c>
      <c r="AV112" s="15">
        <v>119.84534185477104</v>
      </c>
      <c r="AW112" s="15">
        <v>119.84534185477104</v>
      </c>
      <c r="AX112" s="15">
        <v>0</v>
      </c>
      <c r="AY112" s="15">
        <v>0</v>
      </c>
      <c r="AZ112" s="15">
        <v>329.97625546731194</v>
      </c>
      <c r="BA112" s="15">
        <v>76.930878417473039</v>
      </c>
      <c r="BB112" s="15">
        <v>105.43557377076621</v>
      </c>
      <c r="BC112" s="15">
        <v>147.60980327907268</v>
      </c>
      <c r="BD112" s="15">
        <v>0</v>
      </c>
      <c r="BE112" s="15">
        <v>150.47111215012853</v>
      </c>
      <c r="BF112" s="15">
        <v>52.280263452878323</v>
      </c>
      <c r="BG112" s="15">
        <v>1.4723613094253214</v>
      </c>
      <c r="BH112" s="15">
        <v>96.718487387824894</v>
      </c>
      <c r="BI112" s="15">
        <v>0</v>
      </c>
      <c r="BJ112" s="15">
        <v>600.29270947221153</v>
      </c>
      <c r="BK112" s="15">
        <v>689.55145371673916</v>
      </c>
      <c r="BL112" s="15">
        <v>1.6870148536141099</v>
      </c>
      <c r="BM112" s="15">
        <v>0.6975025432792562</v>
      </c>
    </row>
    <row r="113" spans="1:65" s="60" customFormat="1" x14ac:dyDescent="0.35">
      <c r="A113" s="15" t="s">
        <v>10601</v>
      </c>
      <c r="B113" s="15" t="s">
        <v>10320</v>
      </c>
      <c r="C113" s="15" t="s">
        <v>10575</v>
      </c>
      <c r="D113" s="15" t="s">
        <v>10326</v>
      </c>
      <c r="E113" s="15" t="s">
        <v>10715</v>
      </c>
      <c r="F113" s="15">
        <v>56893</v>
      </c>
      <c r="G113" s="15">
        <v>0.8971338410074764</v>
      </c>
      <c r="H113" s="15">
        <v>200</v>
      </c>
      <c r="I113" s="80">
        <v>691.75302140664087</v>
      </c>
      <c r="J113" s="79">
        <v>1.5350646138009443</v>
      </c>
      <c r="K113" s="15">
        <v>30</v>
      </c>
      <c r="L113" s="15">
        <v>83.177265328950668</v>
      </c>
      <c r="M113" s="15">
        <v>15.510972865296365</v>
      </c>
      <c r="N113" s="15">
        <v>19.956960120698287</v>
      </c>
      <c r="O113" s="15">
        <v>14.584541541718936</v>
      </c>
      <c r="P113" s="15">
        <v>3.6730785102145203</v>
      </c>
      <c r="Q113" s="15">
        <v>1.6993400687648355</v>
      </c>
      <c r="R113" s="15">
        <v>1.6993400687648355</v>
      </c>
      <c r="S113" s="15">
        <v>0</v>
      </c>
      <c r="T113" s="15">
        <v>0</v>
      </c>
      <c r="U113" s="15">
        <v>12654.088027642387</v>
      </c>
      <c r="V113" s="15">
        <v>0</v>
      </c>
      <c r="W113" s="15">
        <v>0</v>
      </c>
      <c r="X113" s="15">
        <v>0</v>
      </c>
      <c r="Y113" s="15">
        <v>1172.7971838647622</v>
      </c>
      <c r="Z113" s="15">
        <v>0</v>
      </c>
      <c r="AA113" s="15">
        <v>558.91099999999994</v>
      </c>
      <c r="AB113" s="15">
        <v>0</v>
      </c>
      <c r="AC113" s="15">
        <v>613.88618386476219</v>
      </c>
      <c r="AD113" s="15">
        <v>481.04416245812138</v>
      </c>
      <c r="AE113" s="15">
        <v>6.637185096107558</v>
      </c>
      <c r="AF113" s="15">
        <v>0</v>
      </c>
      <c r="AG113" s="15">
        <v>0</v>
      </c>
      <c r="AH113" s="15">
        <v>351.40661913257134</v>
      </c>
      <c r="AI113" s="15">
        <v>123.00035822944251</v>
      </c>
      <c r="AJ113" s="15">
        <v>0</v>
      </c>
      <c r="AK113" s="15">
        <v>0</v>
      </c>
      <c r="AL113" s="15">
        <v>0</v>
      </c>
      <c r="AM113" s="15">
        <v>0</v>
      </c>
      <c r="AN113" s="15">
        <v>0.78360480346645878</v>
      </c>
      <c r="AO113" s="15">
        <v>691.75302140664087</v>
      </c>
      <c r="AP113" s="15">
        <v>358.04380422867888</v>
      </c>
      <c r="AQ113" s="15">
        <v>6.637185096107558</v>
      </c>
      <c r="AR113" s="15">
        <v>0</v>
      </c>
      <c r="AS113" s="15">
        <v>0</v>
      </c>
      <c r="AT113" s="15">
        <v>351.40661913257134</v>
      </c>
      <c r="AU113" s="15">
        <v>636.68380182918361</v>
      </c>
      <c r="AV113" s="15">
        <v>162.57814342934245</v>
      </c>
      <c r="AW113" s="15">
        <v>162.57814342934245</v>
      </c>
      <c r="AX113" s="15">
        <v>0</v>
      </c>
      <c r="AY113" s="15">
        <v>0</v>
      </c>
      <c r="AZ113" s="15">
        <v>334.31573455450871</v>
      </c>
      <c r="BA113" s="15">
        <v>82.718698010625417</v>
      </c>
      <c r="BB113" s="15">
        <v>104.83209855995139</v>
      </c>
      <c r="BC113" s="15">
        <v>146.76493798393193</v>
      </c>
      <c r="BD113" s="15">
        <v>0</v>
      </c>
      <c r="BE113" s="15">
        <v>139.78992384533242</v>
      </c>
      <c r="BF113" s="15">
        <v>48.493610831246492</v>
      </c>
      <c r="BG113" s="15">
        <v>1.583132976279912</v>
      </c>
      <c r="BH113" s="15">
        <v>89.713180037806012</v>
      </c>
      <c r="BI113" s="15">
        <v>0</v>
      </c>
      <c r="BJ113" s="15">
        <v>994.72760605786243</v>
      </c>
      <c r="BK113" s="59">
        <v>1475.7717685159837</v>
      </c>
      <c r="BL113" s="59">
        <v>1.7297759952277287</v>
      </c>
      <c r="BM113" s="59">
        <v>1.5350646138009443</v>
      </c>
    </row>
    <row r="114" spans="1:65" s="56" customFormat="1" x14ac:dyDescent="0.35">
      <c r="A114" s="15" t="s">
        <v>10601</v>
      </c>
      <c r="B114" s="15" t="s">
        <v>10320</v>
      </c>
      <c r="C114" s="15" t="s">
        <v>10575</v>
      </c>
      <c r="D114" s="15" t="s">
        <v>10327</v>
      </c>
      <c r="E114" s="15" t="s">
        <v>10716</v>
      </c>
      <c r="F114" s="15">
        <v>56893</v>
      </c>
      <c r="G114" s="15">
        <v>0.8971338410074764</v>
      </c>
      <c r="H114" s="15">
        <v>200</v>
      </c>
      <c r="I114" s="80">
        <v>1765.0437167454497</v>
      </c>
      <c r="J114" s="81">
        <v>0.13095572786818505</v>
      </c>
      <c r="K114" s="15">
        <v>30</v>
      </c>
      <c r="L114" s="15">
        <v>82.058917605285814</v>
      </c>
      <c r="M114" s="15">
        <v>23.404234348368782</v>
      </c>
      <c r="N114" s="15">
        <v>19.956960120698287</v>
      </c>
      <c r="O114" s="15">
        <v>14.584541541718936</v>
      </c>
      <c r="P114" s="15">
        <v>3.6730785102145203</v>
      </c>
      <c r="Q114" s="15">
        <v>1.6993400687648355</v>
      </c>
      <c r="R114" s="15">
        <v>1.6993400687648355</v>
      </c>
      <c r="S114" s="15">
        <v>0</v>
      </c>
      <c r="T114" s="15">
        <v>0</v>
      </c>
      <c r="U114" s="15">
        <v>12654.088027642387</v>
      </c>
      <c r="V114" s="15">
        <v>0</v>
      </c>
      <c r="W114" s="15">
        <v>0</v>
      </c>
      <c r="X114" s="15">
        <v>0</v>
      </c>
      <c r="Y114" s="15">
        <v>2059.975361797673</v>
      </c>
      <c r="Z114" s="15">
        <v>0</v>
      </c>
      <c r="AA114" s="15">
        <v>558.91099999999994</v>
      </c>
      <c r="AB114" s="15">
        <v>0</v>
      </c>
      <c r="AC114" s="15">
        <v>1501.064361797673</v>
      </c>
      <c r="AD114" s="15">
        <v>294.9316450522233</v>
      </c>
      <c r="AE114" s="15">
        <v>9.3889560209450806</v>
      </c>
      <c r="AF114" s="15">
        <v>0</v>
      </c>
      <c r="AG114" s="15">
        <v>0</v>
      </c>
      <c r="AH114" s="15">
        <v>162.54233080183582</v>
      </c>
      <c r="AI114" s="15">
        <v>123.00035822944251</v>
      </c>
      <c r="AJ114" s="15">
        <v>0</v>
      </c>
      <c r="AK114" s="15">
        <v>0</v>
      </c>
      <c r="AL114" s="15">
        <v>0</v>
      </c>
      <c r="AM114" s="15">
        <v>0</v>
      </c>
      <c r="AN114" s="15">
        <v>0.19648167830659405</v>
      </c>
      <c r="AO114" s="15">
        <v>1765.0437167454497</v>
      </c>
      <c r="AP114" s="15">
        <v>171.93128682278089</v>
      </c>
      <c r="AQ114" s="15">
        <v>9.3889560209450806</v>
      </c>
      <c r="AR114" s="15">
        <v>0</v>
      </c>
      <c r="AS114" s="15">
        <v>0</v>
      </c>
      <c r="AT114" s="15">
        <v>162.54233080183582</v>
      </c>
      <c r="AU114" s="15">
        <v>1065.3440145682357</v>
      </c>
      <c r="AV114" s="15">
        <v>162.57814342934245</v>
      </c>
      <c r="AW114" s="15">
        <v>162.57814342934245</v>
      </c>
      <c r="AX114" s="15">
        <v>0</v>
      </c>
      <c r="AY114" s="15">
        <v>0</v>
      </c>
      <c r="AZ114" s="15">
        <v>610.03202320778064</v>
      </c>
      <c r="BA114" s="15">
        <v>82.718698010625417</v>
      </c>
      <c r="BB114" s="15">
        <v>219.7138854988147</v>
      </c>
      <c r="BC114" s="15">
        <v>307.59943969834057</v>
      </c>
      <c r="BD114" s="15">
        <v>0</v>
      </c>
      <c r="BE114" s="15">
        <v>292.73384793111268</v>
      </c>
      <c r="BF114" s="15">
        <v>102.15814559818693</v>
      </c>
      <c r="BG114" s="15">
        <v>1.583132976279912</v>
      </c>
      <c r="BH114" s="15">
        <v>188.99256935664582</v>
      </c>
      <c r="BI114" s="15">
        <v>0</v>
      </c>
      <c r="BJ114" s="15">
        <v>1237.2753013910167</v>
      </c>
      <c r="BK114" s="55">
        <v>1532.20694644324</v>
      </c>
      <c r="BL114" s="55">
        <v>0.15398579203409435</v>
      </c>
      <c r="BM114" s="55">
        <v>0.13095572786818505</v>
      </c>
    </row>
    <row r="115" spans="1:65" s="60" customFormat="1" x14ac:dyDescent="0.35">
      <c r="A115" s="59" t="s">
        <v>10601</v>
      </c>
      <c r="B115" s="59" t="s">
        <v>10320</v>
      </c>
      <c r="C115" s="59" t="s">
        <v>10717</v>
      </c>
      <c r="D115" s="59" t="s">
        <v>10326</v>
      </c>
      <c r="E115" s="59" t="s">
        <v>10718</v>
      </c>
      <c r="F115" s="59">
        <v>56893</v>
      </c>
      <c r="G115" s="59">
        <v>0.8971338410074764</v>
      </c>
      <c r="H115" s="59">
        <v>200</v>
      </c>
      <c r="I115" s="59">
        <v>691.75302140664087</v>
      </c>
      <c r="J115" s="88">
        <v>1.5350646138009443</v>
      </c>
      <c r="K115" s="59">
        <v>30</v>
      </c>
      <c r="L115" s="59">
        <v>83.177265328950668</v>
      </c>
      <c r="M115" s="59">
        <v>15.510972865296365</v>
      </c>
      <c r="N115" s="59">
        <v>19.956960120698287</v>
      </c>
      <c r="O115" s="59">
        <v>14.584541541718936</v>
      </c>
      <c r="P115" s="59">
        <v>3.6730785102145203</v>
      </c>
      <c r="Q115" s="59">
        <v>1.6993400687648355</v>
      </c>
      <c r="R115" s="59">
        <v>1.6993400687648355</v>
      </c>
      <c r="S115" s="59">
        <v>0</v>
      </c>
      <c r="T115" s="59">
        <v>0</v>
      </c>
      <c r="U115" s="59">
        <v>12654.088027642387</v>
      </c>
      <c r="V115" s="59">
        <v>0</v>
      </c>
      <c r="W115" s="59">
        <v>0</v>
      </c>
      <c r="X115" s="59">
        <v>0</v>
      </c>
      <c r="Y115" s="59">
        <v>1172.7971838647622</v>
      </c>
      <c r="Z115" s="59">
        <v>0</v>
      </c>
      <c r="AA115" s="59">
        <v>558.91099999999994</v>
      </c>
      <c r="AB115" s="59">
        <v>0</v>
      </c>
      <c r="AC115" s="59">
        <v>613.88618386476219</v>
      </c>
      <c r="AD115" s="59">
        <v>481.04416245812138</v>
      </c>
      <c r="AE115" s="59">
        <v>6.637185096107558</v>
      </c>
      <c r="AF115" s="59">
        <v>0</v>
      </c>
      <c r="AG115" s="59">
        <v>0</v>
      </c>
      <c r="AH115" s="59">
        <v>351.40661913257134</v>
      </c>
      <c r="AI115" s="59">
        <v>123.00035822944251</v>
      </c>
      <c r="AJ115" s="59">
        <v>0</v>
      </c>
      <c r="AK115" s="59">
        <v>0</v>
      </c>
      <c r="AL115" s="59">
        <v>0</v>
      </c>
      <c r="AM115" s="59">
        <v>0</v>
      </c>
      <c r="AN115" s="59">
        <v>0.78360480346645878</v>
      </c>
      <c r="AO115" s="59">
        <v>691.75302140664087</v>
      </c>
      <c r="AP115" s="59">
        <v>358.04380422867888</v>
      </c>
      <c r="AQ115" s="59">
        <v>6.637185096107558</v>
      </c>
      <c r="AR115" s="59">
        <v>0</v>
      </c>
      <c r="AS115" s="59">
        <v>0</v>
      </c>
      <c r="AT115" s="59">
        <v>351.40661913257134</v>
      </c>
      <c r="AU115" s="59">
        <v>636.68380182918361</v>
      </c>
      <c r="AV115" s="59">
        <v>162.57814342934245</v>
      </c>
      <c r="AW115" s="59">
        <v>162.57814342934245</v>
      </c>
      <c r="AX115" s="59">
        <v>0</v>
      </c>
      <c r="AY115" s="59">
        <v>0</v>
      </c>
      <c r="AZ115" s="59">
        <v>334.31573455450871</v>
      </c>
      <c r="BA115" s="59">
        <v>82.718698010625417</v>
      </c>
      <c r="BB115" s="59">
        <v>104.83209855995139</v>
      </c>
      <c r="BC115" s="59">
        <v>146.76493798393193</v>
      </c>
      <c r="BD115" s="59">
        <v>0</v>
      </c>
      <c r="BE115" s="59">
        <v>139.78992384533242</v>
      </c>
      <c r="BF115" s="59">
        <v>48.493610831246492</v>
      </c>
      <c r="BG115" s="59">
        <v>1.583132976279912</v>
      </c>
      <c r="BH115" s="59">
        <v>89.713180037806012</v>
      </c>
      <c r="BI115" s="59">
        <v>0</v>
      </c>
      <c r="BJ115" s="59">
        <v>994.72760605786243</v>
      </c>
      <c r="BK115" s="59">
        <v>1475.7717685159837</v>
      </c>
      <c r="BL115" s="59">
        <v>1.7297759952277287</v>
      </c>
      <c r="BM115" s="59">
        <v>1.5350646138009443</v>
      </c>
    </row>
    <row r="116" spans="1:65" x14ac:dyDescent="0.35">
      <c r="A116" s="15" t="s">
        <v>10601</v>
      </c>
      <c r="B116" s="15" t="s">
        <v>10320</v>
      </c>
      <c r="C116" s="15" t="s">
        <v>10576</v>
      </c>
      <c r="D116" s="15" t="s">
        <v>10321</v>
      </c>
      <c r="E116" s="15" t="s">
        <v>10719</v>
      </c>
      <c r="F116" s="15">
        <v>16485</v>
      </c>
      <c r="G116" s="15">
        <v>0.89710646041856212</v>
      </c>
      <c r="H116" s="15">
        <v>200</v>
      </c>
      <c r="I116" s="80">
        <v>599.92898289729408</v>
      </c>
      <c r="J116" s="79">
        <v>1.0886851469984928</v>
      </c>
      <c r="K116" s="15">
        <v>30</v>
      </c>
      <c r="L116" s="15">
        <v>39.251983746893458</v>
      </c>
      <c r="M116" s="15">
        <v>8.7016730122390094</v>
      </c>
      <c r="N116" s="15">
        <v>5.7824415442414487</v>
      </c>
      <c r="O116" s="15">
        <v>1.0778153004181124</v>
      </c>
      <c r="P116" s="15">
        <v>2.2389107695667767</v>
      </c>
      <c r="Q116" s="15">
        <v>2.4657154742565583</v>
      </c>
      <c r="R116" s="15">
        <v>0.46114971315325543</v>
      </c>
      <c r="S116" s="15">
        <v>0.96632838183475123</v>
      </c>
      <c r="T116" s="15">
        <v>1.0382373792685522</v>
      </c>
      <c r="U116" s="15">
        <v>0</v>
      </c>
      <c r="V116" s="15">
        <v>702.19425838988673</v>
      </c>
      <c r="W116" s="15">
        <v>0</v>
      </c>
      <c r="X116" s="15">
        <v>0</v>
      </c>
      <c r="Y116" s="15">
        <v>742.18908559445322</v>
      </c>
      <c r="Z116" s="15">
        <v>0</v>
      </c>
      <c r="AA116" s="15">
        <v>414.21800000000002</v>
      </c>
      <c r="AB116" s="15">
        <v>39.073</v>
      </c>
      <c r="AC116" s="15">
        <v>288.89808559445322</v>
      </c>
      <c r="AD116" s="15">
        <v>142.26010269715914</v>
      </c>
      <c r="AE116" s="15">
        <v>0.54994788619329271</v>
      </c>
      <c r="AF116" s="15">
        <v>0</v>
      </c>
      <c r="AG116" s="15">
        <v>0</v>
      </c>
      <c r="AH116" s="15">
        <v>40.24938606096589</v>
      </c>
      <c r="AI116" s="15">
        <v>101.46076874999999</v>
      </c>
      <c r="AJ116" s="15">
        <v>3.3699185448740509E-15</v>
      </c>
      <c r="AK116" s="15">
        <v>0</v>
      </c>
      <c r="AL116" s="15">
        <v>0</v>
      </c>
      <c r="AM116" s="15">
        <v>0</v>
      </c>
      <c r="AN116" s="15">
        <v>0.49242314086102928</v>
      </c>
      <c r="AO116" s="15">
        <v>599.92898289729408</v>
      </c>
      <c r="AP116" s="15">
        <v>40.799333947159184</v>
      </c>
      <c r="AQ116" s="15">
        <v>0.54994788619329271</v>
      </c>
      <c r="AR116" s="15">
        <v>0</v>
      </c>
      <c r="AS116" s="15">
        <v>0</v>
      </c>
      <c r="AT116" s="15">
        <v>40.24938606096589</v>
      </c>
      <c r="AU116" s="15">
        <v>558.97242188433177</v>
      </c>
      <c r="AV116" s="15">
        <v>127.05034921277864</v>
      </c>
      <c r="AW116" s="15">
        <v>127.05034921277864</v>
      </c>
      <c r="AX116" s="15">
        <v>0</v>
      </c>
      <c r="AY116" s="15">
        <v>0</v>
      </c>
      <c r="AZ116" s="15">
        <v>251.10397697533949</v>
      </c>
      <c r="BA116" s="15">
        <v>76.930878417473068</v>
      </c>
      <c r="BB116" s="15">
        <v>72.572124399111019</v>
      </c>
      <c r="BC116" s="15">
        <v>101.60097415875541</v>
      </c>
      <c r="BD116" s="15">
        <v>0</v>
      </c>
      <c r="BE116" s="15">
        <v>180.81809569621365</v>
      </c>
      <c r="BF116" s="15">
        <v>62.92832785501345</v>
      </c>
      <c r="BG116" s="15">
        <v>1.4723613094253221</v>
      </c>
      <c r="BH116" s="15">
        <v>116.41740653177487</v>
      </c>
      <c r="BI116" s="15">
        <v>0</v>
      </c>
      <c r="BJ116" s="15">
        <v>599.77175583149096</v>
      </c>
      <c r="BK116" s="15">
        <v>742.0318585286501</v>
      </c>
      <c r="BL116" s="15">
        <v>2.2607757043120293</v>
      </c>
      <c r="BM116" s="15">
        <v>1.0886851469984928</v>
      </c>
    </row>
    <row r="117" spans="1:65" x14ac:dyDescent="0.35">
      <c r="A117" s="15" t="s">
        <v>10601</v>
      </c>
      <c r="B117" s="15" t="s">
        <v>10320</v>
      </c>
      <c r="C117" s="15" t="s">
        <v>10576</v>
      </c>
      <c r="D117" s="15" t="s">
        <v>10322</v>
      </c>
      <c r="E117" s="15" t="s">
        <v>10720</v>
      </c>
      <c r="F117" s="15">
        <v>16485</v>
      </c>
      <c r="G117" s="15">
        <v>0.89710646041856212</v>
      </c>
      <c r="H117" s="15">
        <v>200</v>
      </c>
      <c r="I117" s="80">
        <v>1817.3860635667897</v>
      </c>
      <c r="J117" s="81">
        <v>-0.24330312555003691</v>
      </c>
      <c r="K117" s="15">
        <v>30</v>
      </c>
      <c r="L117" s="15">
        <v>39.251983746893458</v>
      </c>
      <c r="M117" s="15">
        <v>8.7016730122390094</v>
      </c>
      <c r="N117" s="15">
        <v>5.7824415442414487</v>
      </c>
      <c r="O117" s="15">
        <v>1.0778153004181124</v>
      </c>
      <c r="P117" s="15">
        <v>2.2389107695667767</v>
      </c>
      <c r="Q117" s="15">
        <v>2.4657154742565583</v>
      </c>
      <c r="R117" s="15">
        <v>0.46114971315325543</v>
      </c>
      <c r="S117" s="15">
        <v>0.96632838183475123</v>
      </c>
      <c r="T117" s="15">
        <v>1.0382373792685522</v>
      </c>
      <c r="U117" s="15">
        <v>0</v>
      </c>
      <c r="V117" s="15">
        <v>0</v>
      </c>
      <c r="W117" s="15">
        <v>175.54856459747168</v>
      </c>
      <c r="X117" s="15">
        <v>0</v>
      </c>
      <c r="Y117" s="15">
        <v>742.18908559445322</v>
      </c>
      <c r="Z117" s="15">
        <v>0</v>
      </c>
      <c r="AA117" s="15">
        <v>414.21800000000002</v>
      </c>
      <c r="AB117" s="15">
        <v>39.073</v>
      </c>
      <c r="AC117" s="15">
        <v>288.89808559445322</v>
      </c>
      <c r="AD117" s="15">
        <v>-1075.1969779723365</v>
      </c>
      <c r="AE117" s="15">
        <v>-0.62490944247001956</v>
      </c>
      <c r="AF117" s="15">
        <v>104.8786255155094</v>
      </c>
      <c r="AG117" s="15">
        <v>-1206.9416248317048</v>
      </c>
      <c r="AH117" s="15">
        <v>0</v>
      </c>
      <c r="AI117" s="15">
        <v>101.46076874999999</v>
      </c>
      <c r="AJ117" s="15">
        <v>0</v>
      </c>
      <c r="AK117" s="15">
        <v>-73.969837963671196</v>
      </c>
      <c r="AL117" s="15">
        <v>0</v>
      </c>
      <c r="AM117" s="15">
        <v>0</v>
      </c>
      <c r="AN117" s="15">
        <v>-3.7217172130440037</v>
      </c>
      <c r="AO117" s="15">
        <v>1817.3860635667897</v>
      </c>
      <c r="AP117" s="15">
        <v>0</v>
      </c>
      <c r="AQ117" s="15">
        <v>0</v>
      </c>
      <c r="AR117" s="15">
        <v>0</v>
      </c>
      <c r="AS117" s="15">
        <v>0</v>
      </c>
      <c r="AT117" s="15">
        <v>0</v>
      </c>
      <c r="AU117" s="15">
        <v>721.91935396991175</v>
      </c>
      <c r="AV117" s="15">
        <v>127.05034921277864</v>
      </c>
      <c r="AW117" s="15">
        <v>127.05034921277864</v>
      </c>
      <c r="AX117" s="15">
        <v>0</v>
      </c>
      <c r="AY117" s="15">
        <v>0</v>
      </c>
      <c r="AZ117" s="15">
        <v>251.10397697533949</v>
      </c>
      <c r="BA117" s="15">
        <v>76.930878417473068</v>
      </c>
      <c r="BB117" s="15">
        <v>72.572124399111019</v>
      </c>
      <c r="BC117" s="15">
        <v>101.60097415875541</v>
      </c>
      <c r="BD117" s="15">
        <v>0</v>
      </c>
      <c r="BE117" s="15">
        <v>343.76502778179361</v>
      </c>
      <c r="BF117" s="15">
        <v>120.10268999030467</v>
      </c>
      <c r="BG117" s="15">
        <v>1.4723613094253221</v>
      </c>
      <c r="BH117" s="15">
        <v>222.1899764820636</v>
      </c>
      <c r="BI117" s="15">
        <v>0</v>
      </c>
      <c r="BJ117" s="15">
        <v>721.91935396991175</v>
      </c>
      <c r="BK117" s="15">
        <v>-353.27762400242477</v>
      </c>
      <c r="BL117" s="15">
        <v>-1.5305595005485479</v>
      </c>
      <c r="BM117" s="15">
        <v>-0.24330312555003691</v>
      </c>
    </row>
    <row r="118" spans="1:65" x14ac:dyDescent="0.35">
      <c r="A118" s="15" t="s">
        <v>10601</v>
      </c>
      <c r="B118" s="15" t="s">
        <v>10320</v>
      </c>
      <c r="C118" s="15" t="s">
        <v>10576</v>
      </c>
      <c r="D118" s="15" t="s">
        <v>10323</v>
      </c>
      <c r="E118" s="15" t="s">
        <v>10721</v>
      </c>
      <c r="F118" s="15">
        <v>16485</v>
      </c>
      <c r="G118" s="15">
        <v>0.89710646041856212</v>
      </c>
      <c r="H118" s="15">
        <v>200</v>
      </c>
      <c r="I118" s="80">
        <v>672.4716119291304</v>
      </c>
      <c r="J118" s="79">
        <v>0.81147628384309056</v>
      </c>
      <c r="K118" s="15">
        <v>30</v>
      </c>
      <c r="L118" s="15">
        <v>39.251983746893458</v>
      </c>
      <c r="M118" s="15">
        <v>8.7016730122390094</v>
      </c>
      <c r="N118" s="15">
        <v>5.7824415442414487</v>
      </c>
      <c r="O118" s="15">
        <v>1.0778153004181124</v>
      </c>
      <c r="P118" s="15">
        <v>2.2389107695667767</v>
      </c>
      <c r="Q118" s="15">
        <v>2.4657154742565583</v>
      </c>
      <c r="R118" s="15">
        <v>0.46114971315325543</v>
      </c>
      <c r="S118" s="15">
        <v>0.96632838183475123</v>
      </c>
      <c r="T118" s="15">
        <v>1.0382373792685522</v>
      </c>
      <c r="U118" s="15">
        <v>0</v>
      </c>
      <c r="V118" s="15">
        <v>0</v>
      </c>
      <c r="W118" s="15">
        <v>0</v>
      </c>
      <c r="X118" s="15">
        <v>175548.56459747168</v>
      </c>
      <c r="Y118" s="15">
        <v>742.18908559445322</v>
      </c>
      <c r="Z118" s="15">
        <v>0</v>
      </c>
      <c r="AA118" s="15">
        <v>414.21800000000002</v>
      </c>
      <c r="AB118" s="15">
        <v>39.073</v>
      </c>
      <c r="AC118" s="15">
        <v>288.89808559445322</v>
      </c>
      <c r="AD118" s="15">
        <v>69.717473665322814</v>
      </c>
      <c r="AE118" s="15">
        <v>-0.62490944247001956</v>
      </c>
      <c r="AF118" s="15">
        <v>0</v>
      </c>
      <c r="AG118" s="15">
        <v>0</v>
      </c>
      <c r="AH118" s="15">
        <v>0</v>
      </c>
      <c r="AI118" s="15">
        <v>101.46076874999999</v>
      </c>
      <c r="AJ118" s="15">
        <v>0</v>
      </c>
      <c r="AK118" s="15">
        <v>-31.118385642207205</v>
      </c>
      <c r="AL118" s="15">
        <v>0</v>
      </c>
      <c r="AM118" s="15">
        <v>0</v>
      </c>
      <c r="AN118" s="15">
        <v>0.24132203410717712</v>
      </c>
      <c r="AO118" s="15">
        <v>672.4716119291304</v>
      </c>
      <c r="AP118" s="15">
        <v>0</v>
      </c>
      <c r="AQ118" s="15">
        <v>0</v>
      </c>
      <c r="AR118" s="15">
        <v>0</v>
      </c>
      <c r="AS118" s="15">
        <v>0</v>
      </c>
      <c r="AT118" s="15">
        <v>0</v>
      </c>
      <c r="AU118" s="15">
        <v>564.87537656735401</v>
      </c>
      <c r="AV118" s="15">
        <v>127.05034921277864</v>
      </c>
      <c r="AW118" s="15">
        <v>127.05034921277864</v>
      </c>
      <c r="AX118" s="15">
        <v>0</v>
      </c>
      <c r="AY118" s="15">
        <v>0</v>
      </c>
      <c r="AZ118" s="15">
        <v>251.10397697533949</v>
      </c>
      <c r="BA118" s="15">
        <v>76.930878417473068</v>
      </c>
      <c r="BB118" s="15">
        <v>72.572124399111019</v>
      </c>
      <c r="BC118" s="15">
        <v>101.60097415875541</v>
      </c>
      <c r="BD118" s="15">
        <v>0</v>
      </c>
      <c r="BE118" s="15">
        <v>186.72105037923583</v>
      </c>
      <c r="BF118" s="15">
        <v>64.99954002449492</v>
      </c>
      <c r="BG118" s="15">
        <v>1.4723613094253221</v>
      </c>
      <c r="BH118" s="15">
        <v>120.24914904531559</v>
      </c>
      <c r="BI118" s="15">
        <v>0</v>
      </c>
      <c r="BJ118" s="15">
        <v>564.87537656735401</v>
      </c>
      <c r="BK118" s="15">
        <v>634.59285023267682</v>
      </c>
      <c r="BL118" s="15">
        <v>1.8888832839282093</v>
      </c>
      <c r="BM118" s="15">
        <v>0.81147628384309056</v>
      </c>
    </row>
    <row r="119" spans="1:65" x14ac:dyDescent="0.35">
      <c r="A119" s="15" t="s">
        <v>10601</v>
      </c>
      <c r="B119" s="15" t="s">
        <v>10320</v>
      </c>
      <c r="C119" s="15" t="s">
        <v>10576</v>
      </c>
      <c r="D119" s="15" t="s">
        <v>10324</v>
      </c>
      <c r="E119" s="15" t="s">
        <v>10722</v>
      </c>
      <c r="F119" s="15">
        <v>16485</v>
      </c>
      <c r="G119" s="15">
        <v>0.89710646041856212</v>
      </c>
      <c r="H119" s="15">
        <v>200</v>
      </c>
      <c r="I119" s="80">
        <v>608.02605049950841</v>
      </c>
      <c r="J119" s="79">
        <v>0.99760260291650704</v>
      </c>
      <c r="K119" s="15">
        <v>30</v>
      </c>
      <c r="L119" s="15">
        <v>39.422715837043711</v>
      </c>
      <c r="M119" s="15">
        <v>8.741575176898996</v>
      </c>
      <c r="N119" s="15">
        <v>5.7824415442414487</v>
      </c>
      <c r="O119" s="15">
        <v>0.81254868579680817</v>
      </c>
      <c r="P119" s="15">
        <v>2.3336488462172427</v>
      </c>
      <c r="Q119" s="15">
        <v>2.6362440122273969</v>
      </c>
      <c r="R119" s="15">
        <v>0.46114971315325543</v>
      </c>
      <c r="S119" s="15">
        <v>1.1368569198055898</v>
      </c>
      <c r="T119" s="15">
        <v>1.0382373792685522</v>
      </c>
      <c r="U119" s="15">
        <v>0</v>
      </c>
      <c r="V119" s="15">
        <v>0</v>
      </c>
      <c r="W119" s="15">
        <v>0</v>
      </c>
      <c r="X119" s="15">
        <v>0</v>
      </c>
      <c r="Y119" s="15">
        <v>708.69315083995423</v>
      </c>
      <c r="Z119" s="15">
        <v>0</v>
      </c>
      <c r="AA119" s="15">
        <v>414.21800000000002</v>
      </c>
      <c r="AB119" s="15">
        <v>39.073</v>
      </c>
      <c r="AC119" s="15">
        <v>255.40215083995423</v>
      </c>
      <c r="AD119" s="15">
        <v>100.66710034044581</v>
      </c>
      <c r="AE119" s="15">
        <v>-0.79366840955416906</v>
      </c>
      <c r="AF119" s="15">
        <v>0</v>
      </c>
      <c r="AG119" s="15">
        <v>0</v>
      </c>
      <c r="AH119" s="15">
        <v>0</v>
      </c>
      <c r="AI119" s="15">
        <v>101.46076874999999</v>
      </c>
      <c r="AJ119" s="15">
        <v>0</v>
      </c>
      <c r="AK119" s="15">
        <v>0</v>
      </c>
      <c r="AL119" s="15">
        <v>0</v>
      </c>
      <c r="AM119" s="15">
        <v>0</v>
      </c>
      <c r="AN119" s="15">
        <v>0.39415134136254032</v>
      </c>
      <c r="AO119" s="15">
        <v>608.02605049950841</v>
      </c>
      <c r="AP119" s="15">
        <v>0</v>
      </c>
      <c r="AQ119" s="15">
        <v>0</v>
      </c>
      <c r="AR119" s="15">
        <v>0</v>
      </c>
      <c r="AS119" s="15">
        <v>0</v>
      </c>
      <c r="AT119" s="15">
        <v>0</v>
      </c>
      <c r="AU119" s="15">
        <v>561.30342111886148</v>
      </c>
      <c r="AV119" s="15">
        <v>123.3132913600346</v>
      </c>
      <c r="AW119" s="15">
        <v>123.3132913600346</v>
      </c>
      <c r="AX119" s="15">
        <v>0</v>
      </c>
      <c r="AY119" s="15">
        <v>0</v>
      </c>
      <c r="AZ119" s="15">
        <v>256.23786489903262</v>
      </c>
      <c r="BA119" s="15">
        <v>76.930878417473068</v>
      </c>
      <c r="BB119" s="15">
        <v>74.711244367316482</v>
      </c>
      <c r="BC119" s="15">
        <v>104.59574211424307</v>
      </c>
      <c r="BD119" s="15">
        <v>0</v>
      </c>
      <c r="BE119" s="15">
        <v>181.7522648597942</v>
      </c>
      <c r="BF119" s="15">
        <v>63.256106508901361</v>
      </c>
      <c r="BG119" s="15">
        <v>1.4723613094253221</v>
      </c>
      <c r="BH119" s="15">
        <v>117.02379704146752</v>
      </c>
      <c r="BI119" s="15">
        <v>0</v>
      </c>
      <c r="BJ119" s="15">
        <v>561.30342111886148</v>
      </c>
      <c r="BK119" s="15">
        <v>661.97052145930729</v>
      </c>
      <c r="BL119" s="15">
        <v>2.3749540425736448</v>
      </c>
      <c r="BM119" s="15">
        <v>0.99760260291650704</v>
      </c>
    </row>
    <row r="120" spans="1:65" x14ac:dyDescent="0.35">
      <c r="A120" s="15" t="s">
        <v>10601</v>
      </c>
      <c r="B120" s="15" t="s">
        <v>10320</v>
      </c>
      <c r="C120" s="15" t="s">
        <v>10576</v>
      </c>
      <c r="D120" s="15" t="s">
        <v>10325</v>
      </c>
      <c r="E120" s="15" t="s">
        <v>10723</v>
      </c>
      <c r="F120" s="15">
        <v>16485</v>
      </c>
      <c r="G120" s="15">
        <v>0.89710646041856212</v>
      </c>
      <c r="H120" s="15">
        <v>200</v>
      </c>
      <c r="I120" s="80">
        <v>670.68385852861354</v>
      </c>
      <c r="J120" s="79">
        <v>0.76961138423575848</v>
      </c>
      <c r="K120" s="15">
        <v>30</v>
      </c>
      <c r="L120" s="15">
        <v>38.282373194719632</v>
      </c>
      <c r="M120" s="15">
        <v>8.1447481041796816</v>
      </c>
      <c r="N120" s="15">
        <v>5.7824415442414487</v>
      </c>
      <c r="O120" s="15">
        <v>1.2958306939606479</v>
      </c>
      <c r="P120" s="15">
        <v>2.0228137010065432</v>
      </c>
      <c r="Q120" s="15">
        <v>2.463797149274257</v>
      </c>
      <c r="R120" s="15">
        <v>0.46114971315325543</v>
      </c>
      <c r="S120" s="15">
        <v>0</v>
      </c>
      <c r="T120" s="15">
        <v>2.0026474361210012</v>
      </c>
      <c r="U120" s="15">
        <v>0</v>
      </c>
      <c r="V120" s="15">
        <v>0</v>
      </c>
      <c r="W120" s="15">
        <v>0</v>
      </c>
      <c r="X120" s="15">
        <v>0</v>
      </c>
      <c r="Y120" s="15">
        <v>772.14462727861337</v>
      </c>
      <c r="Z120" s="15">
        <v>0</v>
      </c>
      <c r="AA120" s="15">
        <v>414.21800000000002</v>
      </c>
      <c r="AB120" s="15">
        <v>39.073</v>
      </c>
      <c r="AC120" s="15">
        <v>318.85362727861343</v>
      </c>
      <c r="AD120" s="15">
        <v>101.46076874999983</v>
      </c>
      <c r="AE120" s="15">
        <v>0</v>
      </c>
      <c r="AF120" s="15">
        <v>0</v>
      </c>
      <c r="AG120" s="15">
        <v>0</v>
      </c>
      <c r="AH120" s="15">
        <v>0</v>
      </c>
      <c r="AI120" s="15">
        <v>101.46076874999999</v>
      </c>
      <c r="AJ120" s="15">
        <v>0</v>
      </c>
      <c r="AK120" s="15">
        <v>0</v>
      </c>
      <c r="AL120" s="15">
        <v>0</v>
      </c>
      <c r="AM120" s="15">
        <v>0</v>
      </c>
      <c r="AN120" s="15">
        <v>0.31820484407205341</v>
      </c>
      <c r="AO120" s="15">
        <v>670.68385852861354</v>
      </c>
      <c r="AP120" s="15">
        <v>0</v>
      </c>
      <c r="AQ120" s="15">
        <v>0</v>
      </c>
      <c r="AR120" s="15">
        <v>0</v>
      </c>
      <c r="AS120" s="15">
        <v>0</v>
      </c>
      <c r="AT120" s="15">
        <v>0</v>
      </c>
      <c r="AU120" s="15">
        <v>533.55879127539947</v>
      </c>
      <c r="AV120" s="15">
        <v>135.65843537956204</v>
      </c>
      <c r="AW120" s="15">
        <v>135.65843537956204</v>
      </c>
      <c r="AX120" s="15">
        <v>0</v>
      </c>
      <c r="AY120" s="15">
        <v>0</v>
      </c>
      <c r="AZ120" s="15">
        <v>206.49040042027667</v>
      </c>
      <c r="BA120" s="15">
        <v>76.930878417473068</v>
      </c>
      <c r="BB120" s="15">
        <v>53.983134167834841</v>
      </c>
      <c r="BC120" s="15">
        <v>75.57638783496877</v>
      </c>
      <c r="BD120" s="15">
        <v>0</v>
      </c>
      <c r="BE120" s="15">
        <v>191.40995547556071</v>
      </c>
      <c r="BF120" s="15">
        <v>66.644769882854519</v>
      </c>
      <c r="BG120" s="15">
        <v>1.4723613094253221</v>
      </c>
      <c r="BH120" s="15">
        <v>123.29282428328085</v>
      </c>
      <c r="BI120" s="15">
        <v>0</v>
      </c>
      <c r="BJ120" s="15">
        <v>533.55879127539947</v>
      </c>
      <c r="BK120" s="15">
        <v>635.0195600253993</v>
      </c>
      <c r="BL120" s="15">
        <v>1.6188178166647027</v>
      </c>
      <c r="BM120" s="15">
        <v>0.76961138423575848</v>
      </c>
    </row>
    <row r="121" spans="1:65" x14ac:dyDescent="0.35">
      <c r="A121" s="15" t="s">
        <v>10601</v>
      </c>
      <c r="B121" s="15" t="s">
        <v>10320</v>
      </c>
      <c r="C121" s="15" t="s">
        <v>10576</v>
      </c>
      <c r="D121" s="15" t="s">
        <v>10326</v>
      </c>
      <c r="E121" s="15" t="s">
        <v>10724</v>
      </c>
      <c r="F121" s="15">
        <v>16485</v>
      </c>
      <c r="G121" s="15">
        <v>0.89710646041856212</v>
      </c>
      <c r="H121" s="15">
        <v>200</v>
      </c>
      <c r="I121" s="80">
        <v>871.92591596986892</v>
      </c>
      <c r="J121" s="79">
        <v>0.52622604325298616</v>
      </c>
      <c r="K121" s="15">
        <v>30</v>
      </c>
      <c r="L121" s="15">
        <v>37.854949349697009</v>
      </c>
      <c r="M121" s="15">
        <v>8.041852569659989</v>
      </c>
      <c r="N121" s="15">
        <v>5.7824415442414487</v>
      </c>
      <c r="O121" s="15">
        <v>4.2258068565805171</v>
      </c>
      <c r="P121" s="15">
        <v>1.0642583662176384</v>
      </c>
      <c r="Q121" s="15">
        <v>0.49237632144329241</v>
      </c>
      <c r="R121" s="15">
        <v>0.49237632144329241</v>
      </c>
      <c r="S121" s="15">
        <v>0</v>
      </c>
      <c r="T121" s="15">
        <v>0</v>
      </c>
      <c r="U121" s="15">
        <v>3666.4664294056538</v>
      </c>
      <c r="V121" s="15">
        <v>0</v>
      </c>
      <c r="W121" s="15">
        <v>0</v>
      </c>
      <c r="X121" s="15">
        <v>0</v>
      </c>
      <c r="Y121" s="15">
        <v>1060.5399987686546</v>
      </c>
      <c r="Z121" s="15">
        <v>0</v>
      </c>
      <c r="AA121" s="15">
        <v>414.21800000000002</v>
      </c>
      <c r="AB121" s="15">
        <v>39.073</v>
      </c>
      <c r="AC121" s="15">
        <v>607.24899876865459</v>
      </c>
      <c r="AD121" s="15">
        <v>188.61408279878572</v>
      </c>
      <c r="AE121" s="15">
        <v>0</v>
      </c>
      <c r="AF121" s="15">
        <v>0</v>
      </c>
      <c r="AG121" s="15">
        <v>0</v>
      </c>
      <c r="AH121" s="15">
        <v>65.613724569343177</v>
      </c>
      <c r="AI121" s="15">
        <v>123.00035822944253</v>
      </c>
      <c r="AJ121" s="15">
        <v>0</v>
      </c>
      <c r="AK121" s="15">
        <v>0</v>
      </c>
      <c r="AL121" s="15">
        <v>0</v>
      </c>
      <c r="AM121" s="15">
        <v>0</v>
      </c>
      <c r="AN121" s="15">
        <v>0.31060418902500747</v>
      </c>
      <c r="AO121" s="15">
        <v>871.92591596986892</v>
      </c>
      <c r="AP121" s="15">
        <v>65.613724569343177</v>
      </c>
      <c r="AQ121" s="15">
        <v>0</v>
      </c>
      <c r="AR121" s="15">
        <v>0</v>
      </c>
      <c r="AS121" s="15">
        <v>0</v>
      </c>
      <c r="AT121" s="15">
        <v>65.613724569343177</v>
      </c>
      <c r="AU121" s="15">
        <v>611.8513161710855</v>
      </c>
      <c r="AV121" s="15">
        <v>175.34733937486951</v>
      </c>
      <c r="AW121" s="15">
        <v>175.34733937486951</v>
      </c>
      <c r="AX121" s="15">
        <v>0</v>
      </c>
      <c r="AY121" s="15">
        <v>0</v>
      </c>
      <c r="AZ121" s="15">
        <v>210.82987950747349</v>
      </c>
      <c r="BA121" s="15">
        <v>82.718698010625417</v>
      </c>
      <c r="BB121" s="15">
        <v>53.379658957020041</v>
      </c>
      <c r="BC121" s="15">
        <v>74.731522539828049</v>
      </c>
      <c r="BD121" s="15">
        <v>0</v>
      </c>
      <c r="BE121" s="15">
        <v>225.67409728874242</v>
      </c>
      <c r="BF121" s="15">
        <v>78.628408530688603</v>
      </c>
      <c r="BG121" s="15">
        <v>1.5831329762799125</v>
      </c>
      <c r="BH121" s="15">
        <v>145.46255578177389</v>
      </c>
      <c r="BI121" s="15">
        <v>0</v>
      </c>
      <c r="BJ121" s="15">
        <v>677.46504074042866</v>
      </c>
      <c r="BK121" s="15">
        <v>866.07912353921438</v>
      </c>
      <c r="BL121" s="15">
        <v>0.75558811245625723</v>
      </c>
      <c r="BM121" s="15">
        <v>0.52622604325298616</v>
      </c>
    </row>
    <row r="122" spans="1:65" s="60" customFormat="1" x14ac:dyDescent="0.35">
      <c r="A122" s="15" t="s">
        <v>10601</v>
      </c>
      <c r="B122" s="15" t="s">
        <v>10320</v>
      </c>
      <c r="C122" s="15" t="s">
        <v>10576</v>
      </c>
      <c r="D122" s="15" t="s">
        <v>10327</v>
      </c>
      <c r="E122" s="15" t="s">
        <v>10725</v>
      </c>
      <c r="F122" s="15">
        <v>16485</v>
      </c>
      <c r="G122" s="15">
        <v>0.89710646041856212</v>
      </c>
      <c r="H122" s="15">
        <v>200</v>
      </c>
      <c r="I122" s="80">
        <v>5860.7560358969276</v>
      </c>
      <c r="J122" s="81">
        <v>-1.0837604753256267</v>
      </c>
      <c r="K122" s="15">
        <v>30</v>
      </c>
      <c r="L122" s="15">
        <v>59.591938295439306</v>
      </c>
      <c r="M122" s="15">
        <v>21.650200303034357</v>
      </c>
      <c r="N122" s="15">
        <v>5.7824415442414487</v>
      </c>
      <c r="O122" s="15">
        <v>4.2258068565805171</v>
      </c>
      <c r="P122" s="15">
        <v>1.0642583662176384</v>
      </c>
      <c r="Q122" s="15">
        <v>0.49237632144329241</v>
      </c>
      <c r="R122" s="15">
        <v>0.49237632144329241</v>
      </c>
      <c r="S122" s="15">
        <v>0</v>
      </c>
      <c r="T122" s="15">
        <v>0</v>
      </c>
      <c r="U122" s="15">
        <v>3666.4664294056538</v>
      </c>
      <c r="V122" s="15">
        <v>0</v>
      </c>
      <c r="W122" s="15">
        <v>0</v>
      </c>
      <c r="X122" s="15">
        <v>0</v>
      </c>
      <c r="Y122" s="15">
        <v>1859.6446391629077</v>
      </c>
      <c r="Z122" s="15">
        <v>0</v>
      </c>
      <c r="AA122" s="15">
        <v>414.21800000000002</v>
      </c>
      <c r="AB122" s="15">
        <v>39.073</v>
      </c>
      <c r="AC122" s="15">
        <v>1406.3536391629077</v>
      </c>
      <c r="AD122" s="15">
        <v>-4001.1113967340198</v>
      </c>
      <c r="AE122" s="15">
        <v>-85.321766613820174</v>
      </c>
      <c r="AF122" s="15">
        <v>0</v>
      </c>
      <c r="AG122" s="15">
        <v>0</v>
      </c>
      <c r="AH122" s="15">
        <v>-4038.7899883496416</v>
      </c>
      <c r="AI122" s="15">
        <v>123.00035822944253</v>
      </c>
      <c r="AJ122" s="15">
        <v>0</v>
      </c>
      <c r="AK122" s="15">
        <v>0</v>
      </c>
      <c r="AL122" s="15">
        <v>0</v>
      </c>
      <c r="AM122" s="15">
        <v>0</v>
      </c>
      <c r="AN122" s="15">
        <v>-2.8450250956193126</v>
      </c>
      <c r="AO122" s="15">
        <v>5860.7560358969276</v>
      </c>
      <c r="AP122" s="15">
        <v>-4124.1117549634619</v>
      </c>
      <c r="AQ122" s="15">
        <v>-85.321766613820174</v>
      </c>
      <c r="AR122" s="15">
        <v>0</v>
      </c>
      <c r="AS122" s="15">
        <v>0</v>
      </c>
      <c r="AT122" s="15">
        <v>-4038.7899883496416</v>
      </c>
      <c r="AU122" s="15">
        <v>2979.9210436291996</v>
      </c>
      <c r="AV122" s="15">
        <v>175.34733937486951</v>
      </c>
      <c r="AW122" s="15">
        <v>175.34733937486951</v>
      </c>
      <c r="AX122" s="15">
        <v>0</v>
      </c>
      <c r="AY122" s="15">
        <v>0</v>
      </c>
      <c r="AZ122" s="15">
        <v>1867.9913148759817</v>
      </c>
      <c r="BA122" s="15">
        <v>82.718698010625417</v>
      </c>
      <c r="BB122" s="15">
        <v>743.86359036056513</v>
      </c>
      <c r="BC122" s="15">
        <v>1041.4090265047912</v>
      </c>
      <c r="BD122" s="15">
        <v>0</v>
      </c>
      <c r="BE122" s="15">
        <v>936.58238937834824</v>
      </c>
      <c r="BF122" s="15">
        <v>328.06991452704153</v>
      </c>
      <c r="BG122" s="15">
        <v>1.5831329762799125</v>
      </c>
      <c r="BH122" s="15">
        <v>606.92934187502681</v>
      </c>
      <c r="BI122" s="15">
        <v>0</v>
      </c>
      <c r="BJ122" s="15">
        <v>-1144.1907113342622</v>
      </c>
      <c r="BK122" s="59">
        <v>-5145.302108068282</v>
      </c>
      <c r="BL122" s="59">
        <v>-4.5164001218156145</v>
      </c>
      <c r="BM122" s="59">
        <v>-1.0837604753256267</v>
      </c>
    </row>
    <row r="123" spans="1:65" s="60" customFormat="1" x14ac:dyDescent="0.35">
      <c r="A123" s="59" t="s">
        <v>10601</v>
      </c>
      <c r="B123" s="59" t="s">
        <v>10320</v>
      </c>
      <c r="C123" s="59" t="s">
        <v>10726</v>
      </c>
      <c r="D123" s="59" t="s">
        <v>10321</v>
      </c>
      <c r="E123" s="59" t="s">
        <v>10727</v>
      </c>
      <c r="F123" s="59">
        <v>16485</v>
      </c>
      <c r="G123" s="59">
        <v>0.89710646041856212</v>
      </c>
      <c r="H123" s="59">
        <v>200</v>
      </c>
      <c r="I123" s="59">
        <v>599.92898289729408</v>
      </c>
      <c r="J123" s="88">
        <v>1.0886851469984928</v>
      </c>
      <c r="K123" s="59">
        <v>30</v>
      </c>
      <c r="L123" s="59">
        <v>39.251983746893458</v>
      </c>
      <c r="M123" s="59">
        <v>8.7016730122390094</v>
      </c>
      <c r="N123" s="59">
        <v>5.7824415442414487</v>
      </c>
      <c r="O123" s="59">
        <v>1.0778153004181124</v>
      </c>
      <c r="P123" s="59">
        <v>2.2389107695667767</v>
      </c>
      <c r="Q123" s="59">
        <v>2.4657154742565583</v>
      </c>
      <c r="R123" s="59">
        <v>0.46114971315325543</v>
      </c>
      <c r="S123" s="59">
        <v>0.96632838183475123</v>
      </c>
      <c r="T123" s="59">
        <v>1.0382373792685522</v>
      </c>
      <c r="U123" s="59">
        <v>0</v>
      </c>
      <c r="V123" s="59">
        <v>702.19425838988673</v>
      </c>
      <c r="W123" s="59">
        <v>0</v>
      </c>
      <c r="X123" s="59">
        <v>0</v>
      </c>
      <c r="Y123" s="59">
        <v>742.18908559445322</v>
      </c>
      <c r="Z123" s="59">
        <v>0</v>
      </c>
      <c r="AA123" s="59">
        <v>414.21800000000002</v>
      </c>
      <c r="AB123" s="59">
        <v>39.073</v>
      </c>
      <c r="AC123" s="59">
        <v>288.89808559445322</v>
      </c>
      <c r="AD123" s="59">
        <v>142.26010269715914</v>
      </c>
      <c r="AE123" s="59">
        <v>0.54994788619329271</v>
      </c>
      <c r="AF123" s="59">
        <v>0</v>
      </c>
      <c r="AG123" s="59">
        <v>0</v>
      </c>
      <c r="AH123" s="59">
        <v>40.24938606096589</v>
      </c>
      <c r="AI123" s="59">
        <v>101.46076874999999</v>
      </c>
      <c r="AJ123" s="59">
        <v>3.3699185448740509E-15</v>
      </c>
      <c r="AK123" s="59">
        <v>0</v>
      </c>
      <c r="AL123" s="59">
        <v>0</v>
      </c>
      <c r="AM123" s="59">
        <v>0</v>
      </c>
      <c r="AN123" s="59">
        <v>0.49242314086102928</v>
      </c>
      <c r="AO123" s="59">
        <v>599.92898289729408</v>
      </c>
      <c r="AP123" s="59">
        <v>40.799333947159184</v>
      </c>
      <c r="AQ123" s="59">
        <v>0.54994788619329271</v>
      </c>
      <c r="AR123" s="59">
        <v>0</v>
      </c>
      <c r="AS123" s="59">
        <v>0</v>
      </c>
      <c r="AT123" s="59">
        <v>40.24938606096589</v>
      </c>
      <c r="AU123" s="59">
        <v>558.97242188433177</v>
      </c>
      <c r="AV123" s="59">
        <v>127.05034921277864</v>
      </c>
      <c r="AW123" s="59">
        <v>127.05034921277864</v>
      </c>
      <c r="AX123" s="59">
        <v>0</v>
      </c>
      <c r="AY123" s="59">
        <v>0</v>
      </c>
      <c r="AZ123" s="59">
        <v>251.10397697533949</v>
      </c>
      <c r="BA123" s="59">
        <v>76.930878417473068</v>
      </c>
      <c r="BB123" s="59">
        <v>72.572124399111019</v>
      </c>
      <c r="BC123" s="59">
        <v>101.60097415875541</v>
      </c>
      <c r="BD123" s="59">
        <v>0</v>
      </c>
      <c r="BE123" s="59">
        <v>180.81809569621365</v>
      </c>
      <c r="BF123" s="59">
        <v>62.92832785501345</v>
      </c>
      <c r="BG123" s="59">
        <v>1.4723613094253221</v>
      </c>
      <c r="BH123" s="59">
        <v>116.41740653177487</v>
      </c>
      <c r="BI123" s="59">
        <v>0</v>
      </c>
      <c r="BJ123" s="59">
        <v>599.77175583149096</v>
      </c>
      <c r="BK123" s="59">
        <v>742.0318585286501</v>
      </c>
      <c r="BL123" s="59">
        <v>2.2607757043120293</v>
      </c>
      <c r="BM123" s="59">
        <v>1.0886851469984928</v>
      </c>
    </row>
    <row r="124" spans="1:65" s="56" customFormat="1" x14ac:dyDescent="0.35">
      <c r="A124" s="55" t="s">
        <v>10601</v>
      </c>
      <c r="B124" s="55" t="s">
        <v>10728</v>
      </c>
      <c r="C124" s="55" t="s">
        <v>9780</v>
      </c>
      <c r="D124" s="55" t="s">
        <v>9780</v>
      </c>
      <c r="E124" s="55" t="s">
        <v>10018</v>
      </c>
      <c r="F124" s="55">
        <f>F115</f>
        <v>56893</v>
      </c>
      <c r="G124" s="55">
        <f>G115</f>
        <v>0.8971338410074764</v>
      </c>
      <c r="H124" s="55">
        <f>(H115*N115+H123*N123)/(N115+N123)</f>
        <v>200.00000000000003</v>
      </c>
      <c r="I124" s="55">
        <f>(I115*N115+I123*N123)/(N115+N123)</f>
        <v>671.12444806417204</v>
      </c>
      <c r="J124" s="89">
        <f>(J115*N115+J123*N123)/(N115+N123)</f>
        <v>1.4347839931814408</v>
      </c>
      <c r="K124" s="55">
        <f>K115</f>
        <v>30</v>
      </c>
      <c r="L124" s="55">
        <f t="shared" ref="L124:W124" si="9">L115+L123</f>
        <v>122.42924907584413</v>
      </c>
      <c r="M124" s="55">
        <f t="shared" si="9"/>
        <v>24.212645877535373</v>
      </c>
      <c r="N124" s="55">
        <f t="shared" si="9"/>
        <v>25.739401664939734</v>
      </c>
      <c r="O124" s="55">
        <f t="shared" si="9"/>
        <v>15.662356842137049</v>
      </c>
      <c r="P124" s="55">
        <f t="shared" si="9"/>
        <v>5.911989279781297</v>
      </c>
      <c r="Q124" s="55">
        <f t="shared" si="9"/>
        <v>4.1650555430213938</v>
      </c>
      <c r="R124" s="55">
        <f t="shared" si="9"/>
        <v>2.1604897819180908</v>
      </c>
      <c r="S124" s="55">
        <f t="shared" si="9"/>
        <v>0.96632838183475123</v>
      </c>
      <c r="T124" s="55">
        <f t="shared" si="9"/>
        <v>1.0382373792685522</v>
      </c>
      <c r="U124" s="55">
        <f t="shared" si="9"/>
        <v>12654.088027642387</v>
      </c>
      <c r="V124" s="55">
        <f t="shared" si="9"/>
        <v>702.19425838988673</v>
      </c>
      <c r="W124" s="55">
        <f t="shared" si="9"/>
        <v>0</v>
      </c>
      <c r="X124" s="55">
        <f>(X115*N115+X123*N123)/(N115+N123)</f>
        <v>0</v>
      </c>
      <c r="Y124" s="55">
        <f>(Y115*N115+Y123*N123)/(N115+N123)</f>
        <v>1076.0596532438901</v>
      </c>
      <c r="Z124" s="55">
        <f>(Z115*N115+Z123*N123)/(N115+N123)</f>
        <v>0</v>
      </c>
      <c r="AA124" s="55">
        <f>(AA115*N115+AA123*N123)/(N115+N123)</f>
        <v>526.40523994961814</v>
      </c>
      <c r="AB124" s="55">
        <f>(AB115*N115+AB123*N123)/(N115+N123)</f>
        <v>8.7778784215446954</v>
      </c>
      <c r="AC124" s="55">
        <f>(AC115*N115+AC123*N123)/(N115+N123)</f>
        <v>540.87653487272701</v>
      </c>
      <c r="AD124" s="55">
        <f>(AD115*N115+AD123*N123)/(N115+N123)</f>
        <v>404.93520517971791</v>
      </c>
      <c r="AE124" s="55">
        <f>(AE115*N115+AE123*N123)/(N115+N123)</f>
        <v>5.2696671642433461</v>
      </c>
      <c r="AF124" s="55">
        <f>(AF115*N115+AF123*N123)/(N115+N123)</f>
        <v>0</v>
      </c>
      <c r="AG124" s="55">
        <f>(AG115*N115+AG123*N123)/(N115+N123)</f>
        <v>0</v>
      </c>
      <c r="AH124" s="55">
        <f>(AH115*N115+AH123*N123)/(N115+N123)</f>
        <v>281.50411966012746</v>
      </c>
      <c r="AI124" s="55">
        <f>(AI115*N115+AI123*N123)/(N115+N123)</f>
        <v>118.16141835534711</v>
      </c>
      <c r="AJ124" s="55">
        <f>(AJ115*N115+AJ123*N123)/(N115+N123)</f>
        <v>7.5706332448015852E-16</v>
      </c>
      <c r="AK124" s="55">
        <f>(AK115*N115+AK123*N123)/(N115+N123)</f>
        <v>0</v>
      </c>
      <c r="AL124" s="55">
        <f>(AL115*N115+AL123*N123)/(N115+N123)</f>
        <v>0</v>
      </c>
      <c r="AM124" s="55">
        <f>(AM115*N115+AM123*N123)/(N115+N123)</f>
        <v>0</v>
      </c>
      <c r="AN124" s="55">
        <f>(AN115*N115+AN123*N123)/(N115+N123)</f>
        <v>0.71818988183429067</v>
      </c>
      <c r="AO124" s="55">
        <f>(AO115*N115+AO123*N123)/(N115+N123)</f>
        <v>671.12444806417204</v>
      </c>
      <c r="AP124" s="55">
        <f>(AP115*N115+AP123*N123)/(N115+N123)</f>
        <v>286.7737868243708</v>
      </c>
      <c r="AQ124" s="55">
        <f>(AQ115*N115+AQ123*N123)/(N115+N123)</f>
        <v>5.2696671642433461</v>
      </c>
      <c r="AR124" s="55">
        <f>(AR115*N115+AR123*N123)/(N115+N123)</f>
        <v>0</v>
      </c>
      <c r="AS124" s="55">
        <f>(AS115*N115+AS123*N123)/(N115+N123)</f>
        <v>0</v>
      </c>
      <c r="AT124" s="55">
        <f>(AT115*N115+AT123*N123)/(N115+N123)</f>
        <v>281.50411966012746</v>
      </c>
      <c r="AU124" s="55">
        <f>(AU115*N115+AU123*N123)/(N115+N123)</f>
        <v>619.22568381607039</v>
      </c>
      <c r="AV124" s="55">
        <f>(AV115*N115+AV123*N123)/(N115+N123)</f>
        <v>154.59670718900628</v>
      </c>
      <c r="AW124" s="55">
        <f>(AW115*N115+AW123*N123)/(N115+N123)</f>
        <v>154.59670718900628</v>
      </c>
      <c r="AX124" s="55">
        <f>(AX115*N115+AX123*N123)/(N115+N123)</f>
        <v>0</v>
      </c>
      <c r="AY124" s="55">
        <f>(AY115*N115+AY123*N123)/(N115+N123)</f>
        <v>0</v>
      </c>
      <c r="AZ124" s="55">
        <f>(AZ115*N115+AZ123*N123)/(N115+N123)</f>
        <v>315.6219385502859</v>
      </c>
      <c r="BA124" s="55">
        <f>(BA115*N115+BA123*N123)/(N115+N123)</f>
        <v>81.418445234679751</v>
      </c>
      <c r="BB124" s="55">
        <f>(BB115*N115+BB123*N123)/(N115+N123)</f>
        <v>97.58478888150259</v>
      </c>
      <c r="BC124" s="55">
        <f>(BC115*N115+BC123*N123)/(N115+N123)</f>
        <v>136.61870443410362</v>
      </c>
      <c r="BD124" s="55">
        <f>(BD115*N115+BD123*N123)/(N115+N123)</f>
        <v>0</v>
      </c>
      <c r="BE124" s="55">
        <f>(BE115*N115+BE123*N123)/(N115+N123)</f>
        <v>149.00703807677812</v>
      </c>
      <c r="BF124" s="55">
        <f>(BF115*N115+BF123*N123)/(N115+N123)</f>
        <v>51.736417656522981</v>
      </c>
      <c r="BG124" s="55">
        <f>(BG115*N115+BG123*N123)/(N115+N123)</f>
        <v>1.5582477556876504</v>
      </c>
      <c r="BH124" s="55">
        <f>(BH115*N115+BH123*N123)/(N115+N123)</f>
        <v>95.712372664567511</v>
      </c>
      <c r="BI124" s="55">
        <f>(BI115*N115+BI123*N123)/(N115+N123)</f>
        <v>0</v>
      </c>
      <c r="BJ124" s="55">
        <f>(BJ115*N115+BJ123*N123)/(N115+N123)</f>
        <v>905.99947064044113</v>
      </c>
      <c r="BK124" s="55">
        <f>(BK115*N115+BK123*N123)/(N115+N123)</f>
        <v>1310.9346758201589</v>
      </c>
      <c r="BL124" s="55">
        <f>(BL115*N115+BL123*N123)/(N115+N123)</f>
        <v>1.8490668325890167</v>
      </c>
      <c r="BM124" s="55">
        <f>(BM115*N115+BM123*N123)/(N115+N123)</f>
        <v>1.4347839931814408</v>
      </c>
    </row>
    <row r="125" spans="1:65" x14ac:dyDescent="0.35">
      <c r="A125" s="15" t="s">
        <v>10612</v>
      </c>
      <c r="B125" s="15" t="s">
        <v>10320</v>
      </c>
      <c r="C125" s="15" t="s">
        <v>10575</v>
      </c>
      <c r="D125" s="15" t="s">
        <v>10321</v>
      </c>
      <c r="E125" s="15" t="s">
        <v>10729</v>
      </c>
      <c r="F125" s="15">
        <v>56893</v>
      </c>
      <c r="G125" s="15">
        <v>0.8971338410074764</v>
      </c>
      <c r="H125" s="15">
        <v>200</v>
      </c>
      <c r="I125" s="80">
        <v>698.12348707485785</v>
      </c>
      <c r="J125" s="79">
        <v>1.0223288389199616</v>
      </c>
      <c r="K125" s="15">
        <v>30</v>
      </c>
      <c r="L125" s="15">
        <v>87.996430640534783</v>
      </c>
      <c r="M125" s="15">
        <v>16.745019315930417</v>
      </c>
      <c r="N125" s="15">
        <v>19.956960120698287</v>
      </c>
      <c r="O125" s="15">
        <v>3.3292101088548294</v>
      </c>
      <c r="P125" s="15">
        <v>7.7271603353333207</v>
      </c>
      <c r="Q125" s="15">
        <v>8.9005896765101387</v>
      </c>
      <c r="R125" s="15">
        <v>1.9822250639883572</v>
      </c>
      <c r="S125" s="15">
        <v>3.3350924228504031</v>
      </c>
      <c r="T125" s="15">
        <v>3.5832721896713773</v>
      </c>
      <c r="U125" s="15">
        <v>0</v>
      </c>
      <c r="V125" s="15">
        <v>2423.4854264330684</v>
      </c>
      <c r="W125" s="15">
        <v>0</v>
      </c>
      <c r="X125" s="15">
        <v>0</v>
      </c>
      <c r="Y125" s="15">
        <v>859.11201355741707</v>
      </c>
      <c r="Z125" s="15">
        <v>0</v>
      </c>
      <c r="AA125" s="15">
        <v>558.91099999999994</v>
      </c>
      <c r="AB125" s="15">
        <v>0</v>
      </c>
      <c r="AC125" s="15">
        <v>300.20101355741713</v>
      </c>
      <c r="AD125" s="15">
        <v>160.98852648255922</v>
      </c>
      <c r="AE125" s="15">
        <v>10.497023283962298</v>
      </c>
      <c r="AF125" s="15">
        <v>0</v>
      </c>
      <c r="AG125" s="15">
        <v>0</v>
      </c>
      <c r="AH125" s="15">
        <v>29.673269398596947</v>
      </c>
      <c r="AI125" s="15">
        <v>101.46076875</v>
      </c>
      <c r="AJ125" s="15">
        <v>0</v>
      </c>
      <c r="AK125" s="15">
        <v>0</v>
      </c>
      <c r="AL125" s="15">
        <v>0</v>
      </c>
      <c r="AM125" s="15">
        <v>19.357465049999995</v>
      </c>
      <c r="AN125" s="15">
        <v>0.53626909707874182</v>
      </c>
      <c r="AO125" s="15">
        <v>698.12348707485785</v>
      </c>
      <c r="AP125" s="15">
        <v>40.170292682559243</v>
      </c>
      <c r="AQ125" s="15">
        <v>10.497023283962298</v>
      </c>
      <c r="AR125" s="15">
        <v>0</v>
      </c>
      <c r="AS125" s="15">
        <v>0</v>
      </c>
      <c r="AT125" s="15">
        <v>29.673269398596947</v>
      </c>
      <c r="AU125" s="15">
        <v>612.75396835629294</v>
      </c>
      <c r="AV125" s="15">
        <v>111.23479179513285</v>
      </c>
      <c r="AW125" s="15">
        <v>111.23479179513285</v>
      </c>
      <c r="AX125" s="15">
        <v>0</v>
      </c>
      <c r="AY125" s="15">
        <v>0</v>
      </c>
      <c r="AZ125" s="15">
        <v>363.2213659436818</v>
      </c>
      <c r="BA125" s="15">
        <v>76.930878417473039</v>
      </c>
      <c r="BB125" s="15">
        <v>119.28770313592032</v>
      </c>
      <c r="BC125" s="15">
        <v>167.00278439028844</v>
      </c>
      <c r="BD125" s="15">
        <v>0</v>
      </c>
      <c r="BE125" s="15">
        <v>138.29781061747823</v>
      </c>
      <c r="BF125" s="15">
        <v>48.008929581772954</v>
      </c>
      <c r="BG125" s="15">
        <v>1.4723613094253214</v>
      </c>
      <c r="BH125" s="15">
        <v>88.816519726279964</v>
      </c>
      <c r="BI125" s="15">
        <v>0</v>
      </c>
      <c r="BJ125" s="15">
        <v>652.92426103885214</v>
      </c>
      <c r="BK125" s="15">
        <v>813.91278752141136</v>
      </c>
      <c r="BL125" s="15">
        <v>2.3774462501189659</v>
      </c>
      <c r="BM125" s="15">
        <v>1.0223288389199616</v>
      </c>
    </row>
    <row r="126" spans="1:65" x14ac:dyDescent="0.35">
      <c r="A126" s="15" t="s">
        <v>10612</v>
      </c>
      <c r="B126" s="15" t="s">
        <v>10320</v>
      </c>
      <c r="C126" s="15" t="s">
        <v>10575</v>
      </c>
      <c r="D126" s="15" t="s">
        <v>10322</v>
      </c>
      <c r="E126" s="15" t="s">
        <v>10730</v>
      </c>
      <c r="F126" s="15">
        <v>56893</v>
      </c>
      <c r="G126" s="15">
        <v>0.8971338410074764</v>
      </c>
      <c r="H126" s="15">
        <v>200</v>
      </c>
      <c r="I126" s="80">
        <v>657.63337388326954</v>
      </c>
      <c r="J126" s="79">
        <v>1.0762476088871289</v>
      </c>
      <c r="K126" s="15">
        <v>30</v>
      </c>
      <c r="L126" s="15">
        <v>87.996430640534783</v>
      </c>
      <c r="M126" s="15">
        <v>16.745019315930417</v>
      </c>
      <c r="N126" s="15">
        <v>19.956960120698287</v>
      </c>
      <c r="O126" s="15">
        <v>3.3292101088548294</v>
      </c>
      <c r="P126" s="15">
        <v>7.7271603353333207</v>
      </c>
      <c r="Q126" s="15">
        <v>8.9005896765101387</v>
      </c>
      <c r="R126" s="15">
        <v>1.9822250639883572</v>
      </c>
      <c r="S126" s="15">
        <v>3.3350924228504031</v>
      </c>
      <c r="T126" s="15">
        <v>3.5832721896713773</v>
      </c>
      <c r="U126" s="15">
        <v>0</v>
      </c>
      <c r="V126" s="15">
        <v>0</v>
      </c>
      <c r="W126" s="15">
        <v>605.87135660826709</v>
      </c>
      <c r="X126" s="15">
        <v>0</v>
      </c>
      <c r="Y126" s="15">
        <v>859.11201355741707</v>
      </c>
      <c r="Z126" s="15">
        <v>0</v>
      </c>
      <c r="AA126" s="15">
        <v>558.91099999999994</v>
      </c>
      <c r="AB126" s="15">
        <v>0</v>
      </c>
      <c r="AC126" s="15">
        <v>300.20101355741713</v>
      </c>
      <c r="AD126" s="15">
        <v>201.47863967414753</v>
      </c>
      <c r="AE126" s="15">
        <v>-11.927837405433957</v>
      </c>
      <c r="AF126" s="15">
        <v>30.388121117446168</v>
      </c>
      <c r="AG126" s="15">
        <v>65.606488316365954</v>
      </c>
      <c r="AH126" s="15">
        <v>0</v>
      </c>
      <c r="AI126" s="15">
        <v>101.46076875</v>
      </c>
      <c r="AJ126" s="15">
        <v>0</v>
      </c>
      <c r="AK126" s="15">
        <v>-3.4063661542305996</v>
      </c>
      <c r="AL126" s="15">
        <v>0</v>
      </c>
      <c r="AM126" s="15">
        <v>19.357465049999995</v>
      </c>
      <c r="AN126" s="15">
        <v>0.67114576758619859</v>
      </c>
      <c r="AO126" s="15">
        <v>657.63337388326954</v>
      </c>
      <c r="AP126" s="15">
        <v>0</v>
      </c>
      <c r="AQ126" s="15">
        <v>0</v>
      </c>
      <c r="AR126" s="15">
        <v>0</v>
      </c>
      <c r="AS126" s="15">
        <v>0</v>
      </c>
      <c r="AT126" s="15">
        <v>0</v>
      </c>
      <c r="AU126" s="15">
        <v>606.49872004951374</v>
      </c>
      <c r="AV126" s="15">
        <v>111.23479179513285</v>
      </c>
      <c r="AW126" s="15">
        <v>111.23479179513285</v>
      </c>
      <c r="AX126" s="15">
        <v>0</v>
      </c>
      <c r="AY126" s="15">
        <v>0</v>
      </c>
      <c r="AZ126" s="15">
        <v>363.2213659436818</v>
      </c>
      <c r="BA126" s="15">
        <v>76.930878417473039</v>
      </c>
      <c r="BB126" s="15">
        <v>119.28770313592032</v>
      </c>
      <c r="BC126" s="15">
        <v>167.00278439028844</v>
      </c>
      <c r="BD126" s="15">
        <v>0</v>
      </c>
      <c r="BE126" s="15">
        <v>132.04256231069903</v>
      </c>
      <c r="BF126" s="15">
        <v>45.814105614482003</v>
      </c>
      <c r="BG126" s="15">
        <v>1.4723613094253214</v>
      </c>
      <c r="BH126" s="15">
        <v>84.756095386791699</v>
      </c>
      <c r="BI126" s="15">
        <v>0</v>
      </c>
      <c r="BJ126" s="15">
        <v>606.49872004951374</v>
      </c>
      <c r="BK126" s="15">
        <v>807.97735972366127</v>
      </c>
      <c r="BL126" s="15">
        <v>2.3576747385993526</v>
      </c>
      <c r="BM126" s="15">
        <v>1.0762476088871289</v>
      </c>
    </row>
    <row r="127" spans="1:65" x14ac:dyDescent="0.35">
      <c r="A127" s="15" t="s">
        <v>10612</v>
      </c>
      <c r="B127" s="15" t="s">
        <v>10320</v>
      </c>
      <c r="C127" s="15" t="s">
        <v>10575</v>
      </c>
      <c r="D127" s="15" t="s">
        <v>10323</v>
      </c>
      <c r="E127" s="15" t="s">
        <v>10731</v>
      </c>
      <c r="F127" s="15">
        <v>56893</v>
      </c>
      <c r="G127" s="15">
        <v>0.8971338410074764</v>
      </c>
      <c r="H127" s="15">
        <v>200</v>
      </c>
      <c r="I127" s="80">
        <v>681.67181023265653</v>
      </c>
      <c r="J127" s="79">
        <v>1.0230981114257094</v>
      </c>
      <c r="K127" s="15">
        <v>30</v>
      </c>
      <c r="L127" s="15">
        <v>87.996430640534783</v>
      </c>
      <c r="M127" s="15">
        <v>16.745019315930417</v>
      </c>
      <c r="N127" s="15">
        <v>19.956960120698287</v>
      </c>
      <c r="O127" s="15">
        <v>3.3292101088548294</v>
      </c>
      <c r="P127" s="15">
        <v>7.7271603353333207</v>
      </c>
      <c r="Q127" s="15">
        <v>8.9005896765101387</v>
      </c>
      <c r="R127" s="15">
        <v>1.9822250639883572</v>
      </c>
      <c r="S127" s="15">
        <v>3.3350924228504031</v>
      </c>
      <c r="T127" s="15">
        <v>3.5832721896713773</v>
      </c>
      <c r="U127" s="15">
        <v>0</v>
      </c>
      <c r="V127" s="15">
        <v>0</v>
      </c>
      <c r="W127" s="15">
        <v>0</v>
      </c>
      <c r="X127" s="15">
        <v>605871.35660826706</v>
      </c>
      <c r="Y127" s="15">
        <v>859.11201355741707</v>
      </c>
      <c r="Z127" s="15">
        <v>0</v>
      </c>
      <c r="AA127" s="15">
        <v>558.91099999999994</v>
      </c>
      <c r="AB127" s="15">
        <v>0</v>
      </c>
      <c r="AC127" s="15">
        <v>300.20101355741713</v>
      </c>
      <c r="AD127" s="15">
        <v>177.44020332476055</v>
      </c>
      <c r="AE127" s="15">
        <v>-11.927837405433957</v>
      </c>
      <c r="AF127" s="15">
        <v>0</v>
      </c>
      <c r="AG127" s="15">
        <v>0</v>
      </c>
      <c r="AH127" s="15">
        <v>0</v>
      </c>
      <c r="AI127" s="15">
        <v>101.46076875</v>
      </c>
      <c r="AJ127" s="15">
        <v>0</v>
      </c>
      <c r="AK127" s="15">
        <v>68.54980693019462</v>
      </c>
      <c r="AL127" s="15">
        <v>0</v>
      </c>
      <c r="AM127" s="15">
        <v>19.357465049999995</v>
      </c>
      <c r="AN127" s="15">
        <v>0.5910712999335791</v>
      </c>
      <c r="AO127" s="15">
        <v>681.67181023265653</v>
      </c>
      <c r="AP127" s="15">
        <v>0</v>
      </c>
      <c r="AQ127" s="15">
        <v>0</v>
      </c>
      <c r="AR127" s="15">
        <v>0</v>
      </c>
      <c r="AS127" s="15">
        <v>0</v>
      </c>
      <c r="AT127" s="15">
        <v>0</v>
      </c>
      <c r="AU127" s="15">
        <v>620.17795189383196</v>
      </c>
      <c r="AV127" s="15">
        <v>111.23479179513285</v>
      </c>
      <c r="AW127" s="15">
        <v>111.23479179513285</v>
      </c>
      <c r="AX127" s="15">
        <v>0</v>
      </c>
      <c r="AY127" s="15">
        <v>0</v>
      </c>
      <c r="AZ127" s="15">
        <v>363.2213659436818</v>
      </c>
      <c r="BA127" s="15">
        <v>76.930878417473039</v>
      </c>
      <c r="BB127" s="15">
        <v>119.28770313592032</v>
      </c>
      <c r="BC127" s="15">
        <v>167.00278439028844</v>
      </c>
      <c r="BD127" s="15">
        <v>0</v>
      </c>
      <c r="BE127" s="15">
        <v>145.72179415501728</v>
      </c>
      <c r="BF127" s="15">
        <v>50.613836086172618</v>
      </c>
      <c r="BG127" s="15">
        <v>1.4723613094253214</v>
      </c>
      <c r="BH127" s="15">
        <v>93.635596759419329</v>
      </c>
      <c r="BI127" s="15">
        <v>0</v>
      </c>
      <c r="BJ127" s="15">
        <v>620.17795189383196</v>
      </c>
      <c r="BK127" s="15">
        <v>797.61815521859251</v>
      </c>
      <c r="BL127" s="15">
        <v>2.3231671785404742</v>
      </c>
      <c r="BM127" s="15">
        <v>1.0230981114257094</v>
      </c>
    </row>
    <row r="128" spans="1:65" x14ac:dyDescent="0.35">
      <c r="A128" s="15" t="s">
        <v>10612</v>
      </c>
      <c r="B128" s="15" t="s">
        <v>10320</v>
      </c>
      <c r="C128" s="15" t="s">
        <v>10575</v>
      </c>
      <c r="D128" s="15" t="s">
        <v>10324</v>
      </c>
      <c r="E128" s="15" t="s">
        <v>10732</v>
      </c>
      <c r="F128" s="15">
        <v>56893</v>
      </c>
      <c r="G128" s="15">
        <v>0.8971338410074764</v>
      </c>
      <c r="H128" s="15">
        <v>200</v>
      </c>
      <c r="I128" s="80">
        <v>718.69263446045306</v>
      </c>
      <c r="J128" s="79">
        <v>0.91447819725768831</v>
      </c>
      <c r="K128" s="15">
        <v>30</v>
      </c>
      <c r="L128" s="15">
        <v>88.585560029804668</v>
      </c>
      <c r="M128" s="15">
        <v>16.870807676777744</v>
      </c>
      <c r="N128" s="15">
        <v>19.956960120698287</v>
      </c>
      <c r="O128" s="15">
        <v>2.4136945417978555</v>
      </c>
      <c r="P128" s="15">
        <v>8.0541301807108123</v>
      </c>
      <c r="Q128" s="15">
        <v>9.4891353981896192</v>
      </c>
      <c r="R128" s="15">
        <v>1.9822250639883572</v>
      </c>
      <c r="S128" s="15">
        <v>3.9236381445298858</v>
      </c>
      <c r="T128" s="15">
        <v>3.5832721896713773</v>
      </c>
      <c r="U128" s="15">
        <v>0</v>
      </c>
      <c r="V128" s="15">
        <v>0</v>
      </c>
      <c r="W128" s="15">
        <v>0</v>
      </c>
      <c r="X128" s="15">
        <v>0</v>
      </c>
      <c r="Y128" s="15">
        <v>826.51517534542654</v>
      </c>
      <c r="Z128" s="15">
        <v>0</v>
      </c>
      <c r="AA128" s="15">
        <v>558.91099999999994</v>
      </c>
      <c r="AB128" s="15">
        <v>0</v>
      </c>
      <c r="AC128" s="15">
        <v>267.60417534542665</v>
      </c>
      <c r="AD128" s="15">
        <v>107.82254088497348</v>
      </c>
      <c r="AE128" s="15">
        <v>-12.995692915026602</v>
      </c>
      <c r="AF128" s="15">
        <v>0</v>
      </c>
      <c r="AG128" s="15">
        <v>0</v>
      </c>
      <c r="AH128" s="15">
        <v>0</v>
      </c>
      <c r="AI128" s="15">
        <v>101.46076875</v>
      </c>
      <c r="AJ128" s="15">
        <v>0</v>
      </c>
      <c r="AK128" s="15">
        <v>0</v>
      </c>
      <c r="AL128" s="15">
        <v>0</v>
      </c>
      <c r="AM128" s="15">
        <v>19.357465049999995</v>
      </c>
      <c r="AN128" s="15">
        <v>0.40291800658862986</v>
      </c>
      <c r="AO128" s="15">
        <v>718.69263446045306</v>
      </c>
      <c r="AP128" s="15">
        <v>0</v>
      </c>
      <c r="AQ128" s="15">
        <v>0</v>
      </c>
      <c r="AR128" s="15">
        <v>0</v>
      </c>
      <c r="AS128" s="15">
        <v>0</v>
      </c>
      <c r="AT128" s="15">
        <v>0</v>
      </c>
      <c r="AU128" s="15">
        <v>617.01037920422709</v>
      </c>
      <c r="AV128" s="15">
        <v>107.55772091449487</v>
      </c>
      <c r="AW128" s="15">
        <v>107.55772091449487</v>
      </c>
      <c r="AX128" s="15">
        <v>0</v>
      </c>
      <c r="AY128" s="15">
        <v>0</v>
      </c>
      <c r="AZ128" s="15">
        <v>368.35525386737493</v>
      </c>
      <c r="BA128" s="15">
        <v>76.930878417473039</v>
      </c>
      <c r="BB128" s="15">
        <v>121.42682310412577</v>
      </c>
      <c r="BC128" s="15">
        <v>169.99755234577609</v>
      </c>
      <c r="BD128" s="15">
        <v>0</v>
      </c>
      <c r="BE128" s="15">
        <v>141.09740442235733</v>
      </c>
      <c r="BF128" s="15">
        <v>48.991243197519999</v>
      </c>
      <c r="BG128" s="15">
        <v>1.4723613094253214</v>
      </c>
      <c r="BH128" s="15">
        <v>90.633799915411998</v>
      </c>
      <c r="BI128" s="15">
        <v>0</v>
      </c>
      <c r="BJ128" s="15">
        <v>617.01037920422709</v>
      </c>
      <c r="BK128" s="15">
        <v>724.83292008920057</v>
      </c>
      <c r="BL128" s="15">
        <v>2.4559734312643484</v>
      </c>
      <c r="BM128" s="15">
        <v>0.91447819725768831</v>
      </c>
    </row>
    <row r="129" spans="1:65" x14ac:dyDescent="0.35">
      <c r="A129" s="15" t="s">
        <v>10612</v>
      </c>
      <c r="B129" s="15" t="s">
        <v>10320</v>
      </c>
      <c r="C129" s="15" t="s">
        <v>10575</v>
      </c>
      <c r="D129" s="15" t="s">
        <v>10325</v>
      </c>
      <c r="E129" s="15" t="s">
        <v>10733</v>
      </c>
      <c r="F129" s="15">
        <v>56893</v>
      </c>
      <c r="G129" s="15">
        <v>0.8971338410074764</v>
      </c>
      <c r="H129" s="15">
        <v>200</v>
      </c>
      <c r="I129" s="80">
        <v>763.36945438205817</v>
      </c>
      <c r="J129" s="79">
        <v>0.7805319582409499</v>
      </c>
      <c r="K129" s="15">
        <v>30</v>
      </c>
      <c r="L129" s="15">
        <v>84.652434695469708</v>
      </c>
      <c r="M129" s="15">
        <v>15.745428706410822</v>
      </c>
      <c r="N129" s="15">
        <v>19.956960120698287</v>
      </c>
      <c r="O129" s="15">
        <v>4.0816473762855177</v>
      </c>
      <c r="P129" s="15">
        <v>6.9813437894226755</v>
      </c>
      <c r="Q129" s="15">
        <v>8.8939689549900969</v>
      </c>
      <c r="R129" s="15">
        <v>1.9822250639883572</v>
      </c>
      <c r="S129" s="15">
        <v>0</v>
      </c>
      <c r="T129" s="15">
        <v>6.9117438910017412</v>
      </c>
      <c r="U129" s="15">
        <v>0</v>
      </c>
      <c r="V129" s="15">
        <v>0</v>
      </c>
      <c r="W129" s="15">
        <v>0</v>
      </c>
      <c r="X129" s="15">
        <v>0</v>
      </c>
      <c r="Y129" s="15">
        <v>889.9666517840858</v>
      </c>
      <c r="Z129" s="15">
        <v>0</v>
      </c>
      <c r="AA129" s="15">
        <v>558.91099999999994</v>
      </c>
      <c r="AB129" s="15">
        <v>0</v>
      </c>
      <c r="AC129" s="15">
        <v>331.05565178408585</v>
      </c>
      <c r="AD129" s="15">
        <v>126.59719740202763</v>
      </c>
      <c r="AE129" s="15">
        <v>-12.202024505472432</v>
      </c>
      <c r="AF129" s="15">
        <v>0</v>
      </c>
      <c r="AG129" s="15">
        <v>0</v>
      </c>
      <c r="AH129" s="15">
        <v>0</v>
      </c>
      <c r="AI129" s="15">
        <v>101.46076875</v>
      </c>
      <c r="AJ129" s="15">
        <v>0</v>
      </c>
      <c r="AK129" s="15">
        <v>0</v>
      </c>
      <c r="AL129" s="15">
        <v>0</v>
      </c>
      <c r="AM129" s="15">
        <v>37.338453157500005</v>
      </c>
      <c r="AN129" s="15">
        <v>0.38240457977317416</v>
      </c>
      <c r="AO129" s="15">
        <v>763.36945438205817</v>
      </c>
      <c r="AP129" s="15">
        <v>0</v>
      </c>
      <c r="AQ129" s="15">
        <v>0</v>
      </c>
      <c r="AR129" s="15">
        <v>0</v>
      </c>
      <c r="AS129" s="15">
        <v>0</v>
      </c>
      <c r="AT129" s="15">
        <v>0</v>
      </c>
      <c r="AU129" s="15">
        <v>600.29270947221153</v>
      </c>
      <c r="AV129" s="15">
        <v>119.84534185477104</v>
      </c>
      <c r="AW129" s="15">
        <v>119.84534185477104</v>
      </c>
      <c r="AX129" s="15">
        <v>0</v>
      </c>
      <c r="AY129" s="15">
        <v>0</v>
      </c>
      <c r="AZ129" s="15">
        <v>329.97625546731194</v>
      </c>
      <c r="BA129" s="15">
        <v>76.930878417473039</v>
      </c>
      <c r="BB129" s="15">
        <v>105.43557377076621</v>
      </c>
      <c r="BC129" s="15">
        <v>147.60980327907268</v>
      </c>
      <c r="BD129" s="15">
        <v>0</v>
      </c>
      <c r="BE129" s="15">
        <v>150.47111215012853</v>
      </c>
      <c r="BF129" s="15">
        <v>52.280263452878323</v>
      </c>
      <c r="BG129" s="15">
        <v>1.4723613094253214</v>
      </c>
      <c r="BH129" s="15">
        <v>96.718487387824894</v>
      </c>
      <c r="BI129" s="15">
        <v>0</v>
      </c>
      <c r="BJ129" s="15">
        <v>600.29270947221153</v>
      </c>
      <c r="BK129" s="15">
        <v>726.88990687423916</v>
      </c>
      <c r="BL129" s="15">
        <v>1.7998008850752254</v>
      </c>
      <c r="BM129" s="15">
        <v>0.7805319582409499</v>
      </c>
    </row>
    <row r="130" spans="1:65" s="60" customFormat="1" x14ac:dyDescent="0.35">
      <c r="A130" s="15" t="s">
        <v>10612</v>
      </c>
      <c r="B130" s="15" t="s">
        <v>10320</v>
      </c>
      <c r="C130" s="15" t="s">
        <v>10575</v>
      </c>
      <c r="D130" s="15" t="s">
        <v>10326</v>
      </c>
      <c r="E130" s="15" t="s">
        <v>10734</v>
      </c>
      <c r="F130" s="15">
        <v>56893</v>
      </c>
      <c r="G130" s="15">
        <v>0.8971338410074764</v>
      </c>
      <c r="H130" s="15">
        <v>200</v>
      </c>
      <c r="I130" s="80">
        <v>691.75302140664087</v>
      </c>
      <c r="J130" s="79">
        <v>1.5350646138009443</v>
      </c>
      <c r="K130" s="15">
        <v>30</v>
      </c>
      <c r="L130" s="15">
        <v>83.177265328950668</v>
      </c>
      <c r="M130" s="15">
        <v>15.510972865296365</v>
      </c>
      <c r="N130" s="15">
        <v>19.956960120698287</v>
      </c>
      <c r="O130" s="15">
        <v>14.584541541718936</v>
      </c>
      <c r="P130" s="15">
        <v>3.6730785102145203</v>
      </c>
      <c r="Q130" s="15">
        <v>1.6993400687648355</v>
      </c>
      <c r="R130" s="15">
        <v>1.6993400687648355</v>
      </c>
      <c r="S130" s="15">
        <v>0</v>
      </c>
      <c r="T130" s="15">
        <v>0</v>
      </c>
      <c r="U130" s="15">
        <v>12654.088027642387</v>
      </c>
      <c r="V130" s="15">
        <v>0</v>
      </c>
      <c r="W130" s="15">
        <v>0</v>
      </c>
      <c r="X130" s="15">
        <v>0</v>
      </c>
      <c r="Y130" s="15">
        <v>1172.7971838647622</v>
      </c>
      <c r="Z130" s="15">
        <v>0</v>
      </c>
      <c r="AA130" s="15">
        <v>558.91099999999994</v>
      </c>
      <c r="AB130" s="15">
        <v>0</v>
      </c>
      <c r="AC130" s="15">
        <v>613.88618386476219</v>
      </c>
      <c r="AD130" s="15">
        <v>481.04416245812138</v>
      </c>
      <c r="AE130" s="15">
        <v>6.637185096107558</v>
      </c>
      <c r="AF130" s="15">
        <v>0</v>
      </c>
      <c r="AG130" s="15">
        <v>0</v>
      </c>
      <c r="AH130" s="15">
        <v>351.40661913257134</v>
      </c>
      <c r="AI130" s="15">
        <v>123.00035822944251</v>
      </c>
      <c r="AJ130" s="15">
        <v>0</v>
      </c>
      <c r="AK130" s="15">
        <v>0</v>
      </c>
      <c r="AL130" s="15">
        <v>0</v>
      </c>
      <c r="AM130" s="15">
        <v>0</v>
      </c>
      <c r="AN130" s="15">
        <v>0.78360480346645878</v>
      </c>
      <c r="AO130" s="15">
        <v>691.75302140664087</v>
      </c>
      <c r="AP130" s="15">
        <v>358.04380422867888</v>
      </c>
      <c r="AQ130" s="15">
        <v>6.637185096107558</v>
      </c>
      <c r="AR130" s="15">
        <v>0</v>
      </c>
      <c r="AS130" s="15">
        <v>0</v>
      </c>
      <c r="AT130" s="15">
        <v>351.40661913257134</v>
      </c>
      <c r="AU130" s="15">
        <v>636.68380182918361</v>
      </c>
      <c r="AV130" s="15">
        <v>162.57814342934245</v>
      </c>
      <c r="AW130" s="15">
        <v>162.57814342934245</v>
      </c>
      <c r="AX130" s="15">
        <v>0</v>
      </c>
      <c r="AY130" s="15">
        <v>0</v>
      </c>
      <c r="AZ130" s="15">
        <v>334.31573455450871</v>
      </c>
      <c r="BA130" s="15">
        <v>82.718698010625417</v>
      </c>
      <c r="BB130" s="15">
        <v>104.83209855995139</v>
      </c>
      <c r="BC130" s="15">
        <v>146.76493798393193</v>
      </c>
      <c r="BD130" s="15">
        <v>0</v>
      </c>
      <c r="BE130" s="15">
        <v>139.78992384533242</v>
      </c>
      <c r="BF130" s="15">
        <v>48.493610831246492</v>
      </c>
      <c r="BG130" s="15">
        <v>1.583132976279912</v>
      </c>
      <c r="BH130" s="15">
        <v>89.713180037806012</v>
      </c>
      <c r="BI130" s="15">
        <v>0</v>
      </c>
      <c r="BJ130" s="15">
        <v>994.72760605786243</v>
      </c>
      <c r="BK130" s="59">
        <v>1475.7717685159837</v>
      </c>
      <c r="BL130" s="59">
        <v>1.7297759952277287</v>
      </c>
      <c r="BM130" s="59">
        <v>1.5350646138009443</v>
      </c>
    </row>
    <row r="131" spans="1:65" s="56" customFormat="1" x14ac:dyDescent="0.35">
      <c r="A131" s="15" t="s">
        <v>10612</v>
      </c>
      <c r="B131" s="15" t="s">
        <v>10320</v>
      </c>
      <c r="C131" s="15" t="s">
        <v>10575</v>
      </c>
      <c r="D131" s="15" t="s">
        <v>10327</v>
      </c>
      <c r="E131" s="15" t="s">
        <v>10735</v>
      </c>
      <c r="F131" s="15">
        <v>56893</v>
      </c>
      <c r="G131" s="15">
        <v>0.8971338410074764</v>
      </c>
      <c r="H131" s="15">
        <v>200</v>
      </c>
      <c r="I131" s="80">
        <v>1765.0437167454497</v>
      </c>
      <c r="J131" s="81">
        <v>0.13095572786818505</v>
      </c>
      <c r="K131" s="15">
        <v>30</v>
      </c>
      <c r="L131" s="15">
        <v>82.058917605285814</v>
      </c>
      <c r="M131" s="15">
        <v>23.404234348368782</v>
      </c>
      <c r="N131" s="15">
        <v>19.956960120698287</v>
      </c>
      <c r="O131" s="15">
        <v>14.584541541718936</v>
      </c>
      <c r="P131" s="15">
        <v>3.6730785102145203</v>
      </c>
      <c r="Q131" s="15">
        <v>1.6993400687648355</v>
      </c>
      <c r="R131" s="15">
        <v>1.6993400687648355</v>
      </c>
      <c r="S131" s="15">
        <v>0</v>
      </c>
      <c r="T131" s="15">
        <v>0</v>
      </c>
      <c r="U131" s="15">
        <v>12654.088027642387</v>
      </c>
      <c r="V131" s="15">
        <v>0</v>
      </c>
      <c r="W131" s="15">
        <v>0</v>
      </c>
      <c r="X131" s="15">
        <v>0</v>
      </c>
      <c r="Y131" s="15">
        <v>2059.975361797673</v>
      </c>
      <c r="Z131" s="15">
        <v>0</v>
      </c>
      <c r="AA131" s="15">
        <v>558.91099999999994</v>
      </c>
      <c r="AB131" s="15">
        <v>0</v>
      </c>
      <c r="AC131" s="15">
        <v>1501.064361797673</v>
      </c>
      <c r="AD131" s="15">
        <v>294.9316450522233</v>
      </c>
      <c r="AE131" s="15">
        <v>9.3889560209450806</v>
      </c>
      <c r="AF131" s="15">
        <v>0</v>
      </c>
      <c r="AG131" s="15">
        <v>0</v>
      </c>
      <c r="AH131" s="15">
        <v>162.54233080183582</v>
      </c>
      <c r="AI131" s="15">
        <v>123.00035822944251</v>
      </c>
      <c r="AJ131" s="15">
        <v>0</v>
      </c>
      <c r="AK131" s="15">
        <v>0</v>
      </c>
      <c r="AL131" s="15">
        <v>0</v>
      </c>
      <c r="AM131" s="15">
        <v>0</v>
      </c>
      <c r="AN131" s="15">
        <v>0.19648167830659405</v>
      </c>
      <c r="AO131" s="15">
        <v>1765.0437167454497</v>
      </c>
      <c r="AP131" s="15">
        <v>171.93128682278089</v>
      </c>
      <c r="AQ131" s="15">
        <v>9.3889560209450806</v>
      </c>
      <c r="AR131" s="15">
        <v>0</v>
      </c>
      <c r="AS131" s="15">
        <v>0</v>
      </c>
      <c r="AT131" s="15">
        <v>162.54233080183582</v>
      </c>
      <c r="AU131" s="15">
        <v>1065.3440145682357</v>
      </c>
      <c r="AV131" s="15">
        <v>162.57814342934245</v>
      </c>
      <c r="AW131" s="15">
        <v>162.57814342934245</v>
      </c>
      <c r="AX131" s="15">
        <v>0</v>
      </c>
      <c r="AY131" s="15">
        <v>0</v>
      </c>
      <c r="AZ131" s="15">
        <v>610.03202320778064</v>
      </c>
      <c r="BA131" s="15">
        <v>82.718698010625417</v>
      </c>
      <c r="BB131" s="15">
        <v>219.7138854988147</v>
      </c>
      <c r="BC131" s="15">
        <v>307.59943969834057</v>
      </c>
      <c r="BD131" s="15">
        <v>0</v>
      </c>
      <c r="BE131" s="15">
        <v>292.73384793111268</v>
      </c>
      <c r="BF131" s="15">
        <v>102.15814559818693</v>
      </c>
      <c r="BG131" s="15">
        <v>1.583132976279912</v>
      </c>
      <c r="BH131" s="15">
        <v>188.99256935664582</v>
      </c>
      <c r="BI131" s="15">
        <v>0</v>
      </c>
      <c r="BJ131" s="15">
        <v>1237.2753013910167</v>
      </c>
      <c r="BK131" s="55">
        <v>1532.20694644324</v>
      </c>
      <c r="BL131" s="55">
        <v>0.15398579203409435</v>
      </c>
      <c r="BM131" s="55">
        <v>0.13095572786818505</v>
      </c>
    </row>
    <row r="132" spans="1:65" s="60" customFormat="1" x14ac:dyDescent="0.35">
      <c r="A132" s="59" t="s">
        <v>10612</v>
      </c>
      <c r="B132" s="59" t="s">
        <v>10320</v>
      </c>
      <c r="C132" s="59" t="s">
        <v>10717</v>
      </c>
      <c r="D132" s="59" t="s">
        <v>10322</v>
      </c>
      <c r="E132" s="59" t="s">
        <v>10736</v>
      </c>
      <c r="F132" s="59">
        <v>56893</v>
      </c>
      <c r="G132" s="59">
        <v>0.8971338410074764</v>
      </c>
      <c r="H132" s="59">
        <v>200</v>
      </c>
      <c r="I132" s="59">
        <v>657.63337388326954</v>
      </c>
      <c r="J132" s="88">
        <v>1.0762476088871289</v>
      </c>
      <c r="K132" s="59">
        <v>30</v>
      </c>
      <c r="L132" s="59">
        <v>87.996430640534783</v>
      </c>
      <c r="M132" s="59">
        <v>16.745019315930417</v>
      </c>
      <c r="N132" s="59">
        <v>19.956960120698287</v>
      </c>
      <c r="O132" s="59">
        <v>3.3292101088548294</v>
      </c>
      <c r="P132" s="59">
        <v>7.7271603353333207</v>
      </c>
      <c r="Q132" s="59">
        <v>8.9005896765101387</v>
      </c>
      <c r="R132" s="59">
        <v>1.9822250639883572</v>
      </c>
      <c r="S132" s="59">
        <v>3.3350924228504031</v>
      </c>
      <c r="T132" s="59">
        <v>3.5832721896713773</v>
      </c>
      <c r="U132" s="59">
        <v>0</v>
      </c>
      <c r="V132" s="59">
        <v>0</v>
      </c>
      <c r="W132" s="59">
        <v>605.87135660826709</v>
      </c>
      <c r="X132" s="59">
        <v>0</v>
      </c>
      <c r="Y132" s="59">
        <v>859.11201355741707</v>
      </c>
      <c r="Z132" s="59">
        <v>0</v>
      </c>
      <c r="AA132" s="59">
        <v>558.91099999999994</v>
      </c>
      <c r="AB132" s="59">
        <v>0</v>
      </c>
      <c r="AC132" s="59">
        <v>300.20101355741713</v>
      </c>
      <c r="AD132" s="59">
        <v>201.47863967414753</v>
      </c>
      <c r="AE132" s="59">
        <v>-11.927837405433957</v>
      </c>
      <c r="AF132" s="59">
        <v>30.388121117446168</v>
      </c>
      <c r="AG132" s="59">
        <v>65.606488316365954</v>
      </c>
      <c r="AH132" s="59">
        <v>0</v>
      </c>
      <c r="AI132" s="59">
        <v>101.46076875</v>
      </c>
      <c r="AJ132" s="59">
        <v>0</v>
      </c>
      <c r="AK132" s="59">
        <v>-3.4063661542305996</v>
      </c>
      <c r="AL132" s="59">
        <v>0</v>
      </c>
      <c r="AM132" s="59">
        <v>19.357465049999995</v>
      </c>
      <c r="AN132" s="59">
        <v>0.67114576758619859</v>
      </c>
      <c r="AO132" s="59">
        <v>657.63337388326954</v>
      </c>
      <c r="AP132" s="59">
        <v>0</v>
      </c>
      <c r="AQ132" s="59">
        <v>0</v>
      </c>
      <c r="AR132" s="59">
        <v>0</v>
      </c>
      <c r="AS132" s="59">
        <v>0</v>
      </c>
      <c r="AT132" s="59">
        <v>0</v>
      </c>
      <c r="AU132" s="59">
        <v>606.49872004951374</v>
      </c>
      <c r="AV132" s="59">
        <v>111.23479179513285</v>
      </c>
      <c r="AW132" s="59">
        <v>111.23479179513285</v>
      </c>
      <c r="AX132" s="59">
        <v>0</v>
      </c>
      <c r="AY132" s="59">
        <v>0</v>
      </c>
      <c r="AZ132" s="59">
        <v>363.2213659436818</v>
      </c>
      <c r="BA132" s="59">
        <v>76.930878417473039</v>
      </c>
      <c r="BB132" s="59">
        <v>119.28770313592032</v>
      </c>
      <c r="BC132" s="59">
        <v>167.00278439028844</v>
      </c>
      <c r="BD132" s="59">
        <v>0</v>
      </c>
      <c r="BE132" s="59">
        <v>132.04256231069903</v>
      </c>
      <c r="BF132" s="59">
        <v>45.814105614482003</v>
      </c>
      <c r="BG132" s="59">
        <v>1.4723613094253214</v>
      </c>
      <c r="BH132" s="59">
        <v>84.756095386791699</v>
      </c>
      <c r="BI132" s="59">
        <v>0</v>
      </c>
      <c r="BJ132" s="59">
        <v>606.49872004951374</v>
      </c>
      <c r="BK132" s="59">
        <v>807.97735972366127</v>
      </c>
      <c r="BL132" s="59">
        <v>2.3576747385993526</v>
      </c>
      <c r="BM132" s="59">
        <v>1.0762476088871289</v>
      </c>
    </row>
    <row r="133" spans="1:65" x14ac:dyDescent="0.35">
      <c r="A133" s="15" t="s">
        <v>10612</v>
      </c>
      <c r="B133" s="15" t="s">
        <v>10320</v>
      </c>
      <c r="C133" s="15" t="s">
        <v>10576</v>
      </c>
      <c r="D133" s="15" t="s">
        <v>10321</v>
      </c>
      <c r="E133" s="15" t="s">
        <v>10737</v>
      </c>
      <c r="F133" s="15">
        <v>16485</v>
      </c>
      <c r="G133" s="15">
        <v>0.89710646041856212</v>
      </c>
      <c r="H133" s="15">
        <v>200</v>
      </c>
      <c r="I133" s="80">
        <v>580.5715178472941</v>
      </c>
      <c r="J133" s="79">
        <v>1.1583262652596751</v>
      </c>
      <c r="K133" s="15">
        <v>30</v>
      </c>
      <c r="L133" s="15">
        <v>39.251983746893458</v>
      </c>
      <c r="M133" s="15">
        <v>8.7016730122390094</v>
      </c>
      <c r="N133" s="15">
        <v>5.7824415442414487</v>
      </c>
      <c r="O133" s="15">
        <v>1.0778153004181124</v>
      </c>
      <c r="P133" s="15">
        <v>2.2389107695667767</v>
      </c>
      <c r="Q133" s="15">
        <v>2.4657154742565583</v>
      </c>
      <c r="R133" s="15">
        <v>0.46114971315325543</v>
      </c>
      <c r="S133" s="15">
        <v>0.96632838183475123</v>
      </c>
      <c r="T133" s="15">
        <v>1.0382373792685522</v>
      </c>
      <c r="U133" s="15">
        <v>0</v>
      </c>
      <c r="V133" s="15">
        <v>702.19425838988673</v>
      </c>
      <c r="W133" s="15">
        <v>0</v>
      </c>
      <c r="X133" s="15">
        <v>0</v>
      </c>
      <c r="Y133" s="15">
        <v>742.18908559445322</v>
      </c>
      <c r="Z133" s="15">
        <v>0</v>
      </c>
      <c r="AA133" s="15">
        <v>414.21800000000002</v>
      </c>
      <c r="AB133" s="15">
        <v>39.073</v>
      </c>
      <c r="AC133" s="15">
        <v>288.89808559445322</v>
      </c>
      <c r="AD133" s="15">
        <v>161.61756774715911</v>
      </c>
      <c r="AE133" s="15">
        <v>0.54994788619329271</v>
      </c>
      <c r="AF133" s="15">
        <v>0</v>
      </c>
      <c r="AG133" s="15">
        <v>0</v>
      </c>
      <c r="AH133" s="15">
        <v>40.24938606096589</v>
      </c>
      <c r="AI133" s="15">
        <v>101.46076874999999</v>
      </c>
      <c r="AJ133" s="15">
        <v>3.3699185448740509E-15</v>
      </c>
      <c r="AK133" s="15">
        <v>0</v>
      </c>
      <c r="AL133" s="15">
        <v>0</v>
      </c>
      <c r="AM133" s="15">
        <v>19.357465050000005</v>
      </c>
      <c r="AN133" s="15">
        <v>0.5594276175787235</v>
      </c>
      <c r="AO133" s="15">
        <v>580.5715178472941</v>
      </c>
      <c r="AP133" s="15">
        <v>40.799333947159184</v>
      </c>
      <c r="AQ133" s="15">
        <v>0.54994788619329271</v>
      </c>
      <c r="AR133" s="15">
        <v>0</v>
      </c>
      <c r="AS133" s="15">
        <v>0</v>
      </c>
      <c r="AT133" s="15">
        <v>40.24938606096589</v>
      </c>
      <c r="AU133" s="15">
        <v>558.97242188433177</v>
      </c>
      <c r="AV133" s="15">
        <v>127.05034921277864</v>
      </c>
      <c r="AW133" s="15">
        <v>127.05034921277864</v>
      </c>
      <c r="AX133" s="15">
        <v>0</v>
      </c>
      <c r="AY133" s="15">
        <v>0</v>
      </c>
      <c r="AZ133" s="15">
        <v>251.10397697533949</v>
      </c>
      <c r="BA133" s="15">
        <v>76.930878417473068</v>
      </c>
      <c r="BB133" s="15">
        <v>72.572124399111019</v>
      </c>
      <c r="BC133" s="15">
        <v>101.60097415875541</v>
      </c>
      <c r="BD133" s="15">
        <v>0</v>
      </c>
      <c r="BE133" s="15">
        <v>180.81809569621365</v>
      </c>
      <c r="BF133" s="15">
        <v>62.92832785501345</v>
      </c>
      <c r="BG133" s="15">
        <v>1.4723613094253221</v>
      </c>
      <c r="BH133" s="15">
        <v>116.41740653177487</v>
      </c>
      <c r="BI133" s="15">
        <v>0</v>
      </c>
      <c r="BJ133" s="15">
        <v>599.77175583149096</v>
      </c>
      <c r="BK133" s="15">
        <v>761.38932357865008</v>
      </c>
      <c r="BL133" s="15">
        <v>2.3277801810297238</v>
      </c>
      <c r="BM133" s="15">
        <v>1.1583262652596751</v>
      </c>
    </row>
    <row r="134" spans="1:65" x14ac:dyDescent="0.35">
      <c r="A134" s="15" t="s">
        <v>10612</v>
      </c>
      <c r="B134" s="15" t="s">
        <v>10320</v>
      </c>
      <c r="C134" s="15" t="s">
        <v>10576</v>
      </c>
      <c r="D134" s="15" t="s">
        <v>10322</v>
      </c>
      <c r="E134" s="15" t="s">
        <v>10738</v>
      </c>
      <c r="F134" s="15">
        <v>16485</v>
      </c>
      <c r="G134" s="15">
        <v>0.89710646041856212</v>
      </c>
      <c r="H134" s="15">
        <v>200</v>
      </c>
      <c r="I134" s="80">
        <v>521.66097486726289</v>
      </c>
      <c r="J134" s="79">
        <v>1.2446670418257535</v>
      </c>
      <c r="K134" s="15">
        <v>30</v>
      </c>
      <c r="L134" s="15">
        <v>39.251983746893458</v>
      </c>
      <c r="M134" s="15">
        <v>8.7016730122390094</v>
      </c>
      <c r="N134" s="15">
        <v>5.7824415442414487</v>
      </c>
      <c r="O134" s="15">
        <v>1.0778153004181124</v>
      </c>
      <c r="P134" s="15">
        <v>2.2389107695667767</v>
      </c>
      <c r="Q134" s="15">
        <v>2.4657154742565583</v>
      </c>
      <c r="R134" s="15">
        <v>0.46114971315325543</v>
      </c>
      <c r="S134" s="15">
        <v>0.96632838183475123</v>
      </c>
      <c r="T134" s="15">
        <v>1.0382373792685522</v>
      </c>
      <c r="U134" s="15">
        <v>0</v>
      </c>
      <c r="V134" s="15">
        <v>0</v>
      </c>
      <c r="W134" s="15">
        <v>175.54856459747168</v>
      </c>
      <c r="X134" s="15">
        <v>0</v>
      </c>
      <c r="Y134" s="15">
        <v>742.18908559445322</v>
      </c>
      <c r="Z134" s="15">
        <v>0</v>
      </c>
      <c r="AA134" s="15">
        <v>414.21800000000002</v>
      </c>
      <c r="AB134" s="15">
        <v>39.073</v>
      </c>
      <c r="AC134" s="15">
        <v>288.89808559445322</v>
      </c>
      <c r="AD134" s="15">
        <v>220.52811072719032</v>
      </c>
      <c r="AE134" s="15">
        <v>-0.62490944247001956</v>
      </c>
      <c r="AF134" s="15">
        <v>104.8786255155094</v>
      </c>
      <c r="AG134" s="15">
        <v>226.42789572039348</v>
      </c>
      <c r="AH134" s="15">
        <v>0</v>
      </c>
      <c r="AI134" s="15">
        <v>101.46076874999999</v>
      </c>
      <c r="AJ134" s="15">
        <v>0</v>
      </c>
      <c r="AK134" s="15">
        <v>-230.97173486624249</v>
      </c>
      <c r="AL134" s="15">
        <v>0</v>
      </c>
      <c r="AM134" s="15">
        <v>19.357465050000005</v>
      </c>
      <c r="AN134" s="15">
        <v>0.76334223632330089</v>
      </c>
      <c r="AO134" s="15">
        <v>521.66097486726289</v>
      </c>
      <c r="AP134" s="15">
        <v>0</v>
      </c>
      <c r="AQ134" s="15">
        <v>0</v>
      </c>
      <c r="AR134" s="15">
        <v>0</v>
      </c>
      <c r="AS134" s="15">
        <v>0</v>
      </c>
      <c r="AT134" s="15">
        <v>0</v>
      </c>
      <c r="AU134" s="15">
        <v>517.66419729123777</v>
      </c>
      <c r="AV134" s="15">
        <v>127.05034921277864</v>
      </c>
      <c r="AW134" s="15">
        <v>127.05034921277864</v>
      </c>
      <c r="AX134" s="15">
        <v>0</v>
      </c>
      <c r="AY134" s="15">
        <v>0</v>
      </c>
      <c r="AZ134" s="15">
        <v>251.10397697533949</v>
      </c>
      <c r="BA134" s="15">
        <v>76.930878417473068</v>
      </c>
      <c r="BB134" s="15">
        <v>72.572124399111019</v>
      </c>
      <c r="BC134" s="15">
        <v>101.60097415875541</v>
      </c>
      <c r="BD134" s="15">
        <v>0</v>
      </c>
      <c r="BE134" s="15">
        <v>139.50987110311968</v>
      </c>
      <c r="BF134" s="15">
        <v>48.434213962699772</v>
      </c>
      <c r="BG134" s="15">
        <v>1.4723613094253221</v>
      </c>
      <c r="BH134" s="15">
        <v>89.603295830994583</v>
      </c>
      <c r="BI134" s="15">
        <v>0</v>
      </c>
      <c r="BJ134" s="15">
        <v>517.66419729123777</v>
      </c>
      <c r="BK134" s="15">
        <v>738.19230801842809</v>
      </c>
      <c r="BL134" s="15">
        <v>2.2474853756401671</v>
      </c>
      <c r="BM134" s="15">
        <v>1.2446670418257535</v>
      </c>
    </row>
    <row r="135" spans="1:65" x14ac:dyDescent="0.35">
      <c r="A135" s="15" t="s">
        <v>10612</v>
      </c>
      <c r="B135" s="15" t="s">
        <v>10320</v>
      </c>
      <c r="C135" s="15" t="s">
        <v>10576</v>
      </c>
      <c r="D135" s="15" t="s">
        <v>10323</v>
      </c>
      <c r="E135" s="15" t="s">
        <v>10739</v>
      </c>
      <c r="F135" s="15">
        <v>16485</v>
      </c>
      <c r="G135" s="15">
        <v>0.89710646041856212</v>
      </c>
      <c r="H135" s="15">
        <v>200</v>
      </c>
      <c r="I135" s="80">
        <v>604.62491179913047</v>
      </c>
      <c r="J135" s="79">
        <v>1.0147472470867283</v>
      </c>
      <c r="K135" s="15">
        <v>30</v>
      </c>
      <c r="L135" s="15">
        <v>39.251983746893458</v>
      </c>
      <c r="M135" s="15">
        <v>8.7016730122390094</v>
      </c>
      <c r="N135" s="15">
        <v>5.7824415442414487</v>
      </c>
      <c r="O135" s="15">
        <v>1.0778153004181124</v>
      </c>
      <c r="P135" s="15">
        <v>2.2389107695667767</v>
      </c>
      <c r="Q135" s="15">
        <v>2.4657154742565583</v>
      </c>
      <c r="R135" s="15">
        <v>0.46114971315325543</v>
      </c>
      <c r="S135" s="15">
        <v>0.96632838183475123</v>
      </c>
      <c r="T135" s="15">
        <v>1.0382373792685522</v>
      </c>
      <c r="U135" s="15">
        <v>0</v>
      </c>
      <c r="V135" s="15">
        <v>0</v>
      </c>
      <c r="W135" s="15">
        <v>0</v>
      </c>
      <c r="X135" s="15">
        <v>175548.56459747168</v>
      </c>
      <c r="Y135" s="15">
        <v>742.18908559445322</v>
      </c>
      <c r="Z135" s="15">
        <v>0</v>
      </c>
      <c r="AA135" s="15">
        <v>414.21800000000002</v>
      </c>
      <c r="AB135" s="15">
        <v>39.073</v>
      </c>
      <c r="AC135" s="15">
        <v>288.89808559445322</v>
      </c>
      <c r="AD135" s="15">
        <v>137.56417379532274</v>
      </c>
      <c r="AE135" s="15">
        <v>-0.62490944247001956</v>
      </c>
      <c r="AF135" s="15">
        <v>0</v>
      </c>
      <c r="AG135" s="15">
        <v>0</v>
      </c>
      <c r="AH135" s="15">
        <v>0</v>
      </c>
      <c r="AI135" s="15">
        <v>101.46076874999999</v>
      </c>
      <c r="AJ135" s="15">
        <v>0</v>
      </c>
      <c r="AK135" s="15">
        <v>17.370849437792788</v>
      </c>
      <c r="AL135" s="15">
        <v>0</v>
      </c>
      <c r="AM135" s="15">
        <v>19.357465050000005</v>
      </c>
      <c r="AN135" s="15">
        <v>0.47616851981647035</v>
      </c>
      <c r="AO135" s="15">
        <v>604.62491179913047</v>
      </c>
      <c r="AP135" s="15">
        <v>0</v>
      </c>
      <c r="AQ135" s="15">
        <v>0</v>
      </c>
      <c r="AR135" s="15">
        <v>0</v>
      </c>
      <c r="AS135" s="15">
        <v>0</v>
      </c>
      <c r="AT135" s="15">
        <v>0</v>
      </c>
      <c r="AU135" s="15">
        <v>564.87537656735401</v>
      </c>
      <c r="AV135" s="15">
        <v>127.05034921277864</v>
      </c>
      <c r="AW135" s="15">
        <v>127.05034921277864</v>
      </c>
      <c r="AX135" s="15">
        <v>0</v>
      </c>
      <c r="AY135" s="15">
        <v>0</v>
      </c>
      <c r="AZ135" s="15">
        <v>251.10397697533949</v>
      </c>
      <c r="BA135" s="15">
        <v>76.930878417473068</v>
      </c>
      <c r="BB135" s="15">
        <v>72.572124399111019</v>
      </c>
      <c r="BC135" s="15">
        <v>101.60097415875541</v>
      </c>
      <c r="BD135" s="15">
        <v>0</v>
      </c>
      <c r="BE135" s="15">
        <v>186.72105037923583</v>
      </c>
      <c r="BF135" s="15">
        <v>64.99954002449492</v>
      </c>
      <c r="BG135" s="15">
        <v>1.4723613094253221</v>
      </c>
      <c r="BH135" s="15">
        <v>120.24914904531559</v>
      </c>
      <c r="BI135" s="15">
        <v>0</v>
      </c>
      <c r="BJ135" s="15">
        <v>564.87537656735401</v>
      </c>
      <c r="BK135" s="15">
        <v>702.43955036267675</v>
      </c>
      <c r="BL135" s="15">
        <v>2.1237297696375022</v>
      </c>
      <c r="BM135" s="15">
        <v>1.0147472470867283</v>
      </c>
    </row>
    <row r="136" spans="1:65" x14ac:dyDescent="0.35">
      <c r="A136" s="15" t="s">
        <v>10612</v>
      </c>
      <c r="B136" s="15" t="s">
        <v>10320</v>
      </c>
      <c r="C136" s="15" t="s">
        <v>10576</v>
      </c>
      <c r="D136" s="15" t="s">
        <v>10324</v>
      </c>
      <c r="E136" s="15" t="s">
        <v>10740</v>
      </c>
      <c r="F136" s="15">
        <v>16485</v>
      </c>
      <c r="G136" s="15">
        <v>0.89710646041856212</v>
      </c>
      <c r="H136" s="15">
        <v>200</v>
      </c>
      <c r="I136" s="80">
        <v>588.66858544950844</v>
      </c>
      <c r="J136" s="79">
        <v>1.0632907057396226</v>
      </c>
      <c r="K136" s="15">
        <v>30</v>
      </c>
      <c r="L136" s="15">
        <v>39.422715837043711</v>
      </c>
      <c r="M136" s="15">
        <v>8.741575176898996</v>
      </c>
      <c r="N136" s="15">
        <v>5.7824415442414487</v>
      </c>
      <c r="O136" s="15">
        <v>0.81254868579680817</v>
      </c>
      <c r="P136" s="15">
        <v>2.3336488462172427</v>
      </c>
      <c r="Q136" s="15">
        <v>2.6362440122273969</v>
      </c>
      <c r="R136" s="15">
        <v>0.46114971315325543</v>
      </c>
      <c r="S136" s="15">
        <v>1.1368569198055898</v>
      </c>
      <c r="T136" s="15">
        <v>1.0382373792685522</v>
      </c>
      <c r="U136" s="15">
        <v>0</v>
      </c>
      <c r="V136" s="15">
        <v>0</v>
      </c>
      <c r="W136" s="15">
        <v>0</v>
      </c>
      <c r="X136" s="15">
        <v>0</v>
      </c>
      <c r="Y136" s="15">
        <v>708.69315083995423</v>
      </c>
      <c r="Z136" s="15">
        <v>0</v>
      </c>
      <c r="AA136" s="15">
        <v>414.21800000000002</v>
      </c>
      <c r="AB136" s="15">
        <v>39.073</v>
      </c>
      <c r="AC136" s="15">
        <v>255.40215083995423</v>
      </c>
      <c r="AD136" s="15">
        <v>120.02456539044579</v>
      </c>
      <c r="AE136" s="15">
        <v>-0.79366840955416906</v>
      </c>
      <c r="AF136" s="15">
        <v>0</v>
      </c>
      <c r="AG136" s="15">
        <v>0</v>
      </c>
      <c r="AH136" s="15">
        <v>0</v>
      </c>
      <c r="AI136" s="15">
        <v>101.46076874999999</v>
      </c>
      <c r="AJ136" s="15">
        <v>0</v>
      </c>
      <c r="AK136" s="15">
        <v>0</v>
      </c>
      <c r="AL136" s="15">
        <v>0</v>
      </c>
      <c r="AM136" s="15">
        <v>19.357465050000005</v>
      </c>
      <c r="AN136" s="15">
        <v>0.46994344016177941</v>
      </c>
      <c r="AO136" s="15">
        <v>588.66858544950844</v>
      </c>
      <c r="AP136" s="15">
        <v>0</v>
      </c>
      <c r="AQ136" s="15">
        <v>0</v>
      </c>
      <c r="AR136" s="15">
        <v>0</v>
      </c>
      <c r="AS136" s="15">
        <v>0</v>
      </c>
      <c r="AT136" s="15">
        <v>0</v>
      </c>
      <c r="AU136" s="15">
        <v>561.30342111886148</v>
      </c>
      <c r="AV136" s="15">
        <v>123.3132913600346</v>
      </c>
      <c r="AW136" s="15">
        <v>123.3132913600346</v>
      </c>
      <c r="AX136" s="15">
        <v>0</v>
      </c>
      <c r="AY136" s="15">
        <v>0</v>
      </c>
      <c r="AZ136" s="15">
        <v>256.23786489903262</v>
      </c>
      <c r="BA136" s="15">
        <v>76.930878417473068</v>
      </c>
      <c r="BB136" s="15">
        <v>74.711244367316482</v>
      </c>
      <c r="BC136" s="15">
        <v>104.59574211424307</v>
      </c>
      <c r="BD136" s="15">
        <v>0</v>
      </c>
      <c r="BE136" s="15">
        <v>181.7522648597942</v>
      </c>
      <c r="BF136" s="15">
        <v>63.256106508901361</v>
      </c>
      <c r="BG136" s="15">
        <v>1.4723613094253221</v>
      </c>
      <c r="BH136" s="15">
        <v>117.02379704146752</v>
      </c>
      <c r="BI136" s="15">
        <v>0</v>
      </c>
      <c r="BJ136" s="15">
        <v>561.30342111886148</v>
      </c>
      <c r="BK136" s="15">
        <v>681.32798650930727</v>
      </c>
      <c r="BL136" s="15">
        <v>2.4507461413728837</v>
      </c>
      <c r="BM136" s="15">
        <v>1.0632907057396226</v>
      </c>
    </row>
    <row r="137" spans="1:65" x14ac:dyDescent="0.35">
      <c r="A137" s="15" t="s">
        <v>10612</v>
      </c>
      <c r="B137" s="15" t="s">
        <v>10320</v>
      </c>
      <c r="C137" s="15" t="s">
        <v>10576</v>
      </c>
      <c r="D137" s="15" t="s">
        <v>10325</v>
      </c>
      <c r="E137" s="15" t="s">
        <v>10741</v>
      </c>
      <c r="F137" s="15">
        <v>16485</v>
      </c>
      <c r="G137" s="15">
        <v>0.89710646041856212</v>
      </c>
      <c r="H137" s="15">
        <v>200</v>
      </c>
      <c r="I137" s="80">
        <v>633.34540537111354</v>
      </c>
      <c r="J137" s="79">
        <v>0.8739376353096866</v>
      </c>
      <c r="K137" s="15">
        <v>30</v>
      </c>
      <c r="L137" s="15">
        <v>38.282373194719632</v>
      </c>
      <c r="M137" s="15">
        <v>8.1447481041796816</v>
      </c>
      <c r="N137" s="15">
        <v>5.7824415442414487</v>
      </c>
      <c r="O137" s="15">
        <v>1.2958306939606479</v>
      </c>
      <c r="P137" s="15">
        <v>2.0228137010065432</v>
      </c>
      <c r="Q137" s="15">
        <v>2.463797149274257</v>
      </c>
      <c r="R137" s="15">
        <v>0.46114971315325543</v>
      </c>
      <c r="S137" s="15">
        <v>0</v>
      </c>
      <c r="T137" s="15">
        <v>2.0026474361210012</v>
      </c>
      <c r="U137" s="15">
        <v>0</v>
      </c>
      <c r="V137" s="15">
        <v>0</v>
      </c>
      <c r="W137" s="15">
        <v>0</v>
      </c>
      <c r="X137" s="15">
        <v>0</v>
      </c>
      <c r="Y137" s="15">
        <v>772.14462727861337</v>
      </c>
      <c r="Z137" s="15">
        <v>0</v>
      </c>
      <c r="AA137" s="15">
        <v>414.21800000000002</v>
      </c>
      <c r="AB137" s="15">
        <v>39.073</v>
      </c>
      <c r="AC137" s="15">
        <v>318.85362727861343</v>
      </c>
      <c r="AD137" s="15">
        <v>138.79922190749983</v>
      </c>
      <c r="AE137" s="15">
        <v>0</v>
      </c>
      <c r="AF137" s="15">
        <v>0</v>
      </c>
      <c r="AG137" s="15">
        <v>0</v>
      </c>
      <c r="AH137" s="15">
        <v>0</v>
      </c>
      <c r="AI137" s="15">
        <v>101.46076874999999</v>
      </c>
      <c r="AJ137" s="15">
        <v>0</v>
      </c>
      <c r="AK137" s="15">
        <v>0</v>
      </c>
      <c r="AL137" s="15">
        <v>0</v>
      </c>
      <c r="AM137" s="15">
        <v>37.338453157500005</v>
      </c>
      <c r="AN137" s="15">
        <v>0.43530701874756295</v>
      </c>
      <c r="AO137" s="15">
        <v>633.34540537111354</v>
      </c>
      <c r="AP137" s="15">
        <v>0</v>
      </c>
      <c r="AQ137" s="15">
        <v>0</v>
      </c>
      <c r="AR137" s="15">
        <v>0</v>
      </c>
      <c r="AS137" s="15">
        <v>0</v>
      </c>
      <c r="AT137" s="15">
        <v>0</v>
      </c>
      <c r="AU137" s="15">
        <v>533.55879127539947</v>
      </c>
      <c r="AV137" s="15">
        <v>135.65843537956204</v>
      </c>
      <c r="AW137" s="15">
        <v>135.65843537956204</v>
      </c>
      <c r="AX137" s="15">
        <v>0</v>
      </c>
      <c r="AY137" s="15">
        <v>0</v>
      </c>
      <c r="AZ137" s="15">
        <v>206.49040042027667</v>
      </c>
      <c r="BA137" s="15">
        <v>76.930878417473068</v>
      </c>
      <c r="BB137" s="15">
        <v>53.983134167834841</v>
      </c>
      <c r="BC137" s="15">
        <v>75.57638783496877</v>
      </c>
      <c r="BD137" s="15">
        <v>0</v>
      </c>
      <c r="BE137" s="15">
        <v>191.40995547556074</v>
      </c>
      <c r="BF137" s="15">
        <v>66.644769882854533</v>
      </c>
      <c r="BG137" s="15">
        <v>1.4723613094253221</v>
      </c>
      <c r="BH137" s="15">
        <v>123.29282428328088</v>
      </c>
      <c r="BI137" s="15">
        <v>0</v>
      </c>
      <c r="BJ137" s="15">
        <v>533.55879127539947</v>
      </c>
      <c r="BK137" s="15">
        <v>672.3580131828993</v>
      </c>
      <c r="BL137" s="15">
        <v>1.7359199913402121</v>
      </c>
      <c r="BM137" s="15">
        <v>0.8739376353096866</v>
      </c>
    </row>
    <row r="138" spans="1:65" x14ac:dyDescent="0.35">
      <c r="A138" s="15" t="s">
        <v>10612</v>
      </c>
      <c r="B138" s="15" t="s">
        <v>10320</v>
      </c>
      <c r="C138" s="15" t="s">
        <v>10576</v>
      </c>
      <c r="D138" s="15" t="s">
        <v>10326</v>
      </c>
      <c r="E138" s="15" t="s">
        <v>10742</v>
      </c>
      <c r="F138" s="15">
        <v>16485</v>
      </c>
      <c r="G138" s="15">
        <v>0.89710646041856212</v>
      </c>
      <c r="H138" s="15">
        <v>200</v>
      </c>
      <c r="I138" s="80">
        <v>871.92591596986892</v>
      </c>
      <c r="J138" s="79">
        <v>0.52622604325298616</v>
      </c>
      <c r="K138" s="15">
        <v>30</v>
      </c>
      <c r="L138" s="15">
        <v>37.854949349697009</v>
      </c>
      <c r="M138" s="15">
        <v>8.041852569659989</v>
      </c>
      <c r="N138" s="15">
        <v>5.7824415442414487</v>
      </c>
      <c r="O138" s="15">
        <v>4.2258068565805171</v>
      </c>
      <c r="P138" s="15">
        <v>1.0642583662176384</v>
      </c>
      <c r="Q138" s="15">
        <v>0.49237632144329241</v>
      </c>
      <c r="R138" s="15">
        <v>0.49237632144329241</v>
      </c>
      <c r="S138" s="15">
        <v>0</v>
      </c>
      <c r="T138" s="15">
        <v>0</v>
      </c>
      <c r="U138" s="15">
        <v>3666.4664294056538</v>
      </c>
      <c r="V138" s="15">
        <v>0</v>
      </c>
      <c r="W138" s="15">
        <v>0</v>
      </c>
      <c r="X138" s="15">
        <v>0</v>
      </c>
      <c r="Y138" s="15">
        <v>1060.5399987686546</v>
      </c>
      <c r="Z138" s="15">
        <v>0</v>
      </c>
      <c r="AA138" s="15">
        <v>414.21800000000002</v>
      </c>
      <c r="AB138" s="15">
        <v>39.073</v>
      </c>
      <c r="AC138" s="15">
        <v>607.24899876865459</v>
      </c>
      <c r="AD138" s="15">
        <v>188.61408279878572</v>
      </c>
      <c r="AE138" s="15">
        <v>0</v>
      </c>
      <c r="AF138" s="15">
        <v>0</v>
      </c>
      <c r="AG138" s="15">
        <v>0</v>
      </c>
      <c r="AH138" s="15">
        <v>65.613724569343177</v>
      </c>
      <c r="AI138" s="15">
        <v>123.00035822944253</v>
      </c>
      <c r="AJ138" s="15">
        <v>0</v>
      </c>
      <c r="AK138" s="15">
        <v>0</v>
      </c>
      <c r="AL138" s="15">
        <v>0</v>
      </c>
      <c r="AM138" s="15">
        <v>0</v>
      </c>
      <c r="AN138" s="15">
        <v>0.31060418902500747</v>
      </c>
      <c r="AO138" s="15">
        <v>871.92591596986892</v>
      </c>
      <c r="AP138" s="15">
        <v>65.613724569343177</v>
      </c>
      <c r="AQ138" s="15">
        <v>0</v>
      </c>
      <c r="AR138" s="15">
        <v>0</v>
      </c>
      <c r="AS138" s="15">
        <v>0</v>
      </c>
      <c r="AT138" s="15">
        <v>65.613724569343177</v>
      </c>
      <c r="AU138" s="15">
        <v>611.8513161710855</v>
      </c>
      <c r="AV138" s="15">
        <v>175.34733937486951</v>
      </c>
      <c r="AW138" s="15">
        <v>175.34733937486951</v>
      </c>
      <c r="AX138" s="15">
        <v>0</v>
      </c>
      <c r="AY138" s="15">
        <v>0</v>
      </c>
      <c r="AZ138" s="15">
        <v>210.82987950747349</v>
      </c>
      <c r="BA138" s="15">
        <v>82.718698010625417</v>
      </c>
      <c r="BB138" s="15">
        <v>53.379658957020041</v>
      </c>
      <c r="BC138" s="15">
        <v>74.731522539828049</v>
      </c>
      <c r="BD138" s="15">
        <v>0</v>
      </c>
      <c r="BE138" s="15">
        <v>225.67409728874242</v>
      </c>
      <c r="BF138" s="15">
        <v>78.628408530688603</v>
      </c>
      <c r="BG138" s="15">
        <v>1.5831329762799125</v>
      </c>
      <c r="BH138" s="15">
        <v>145.46255578177389</v>
      </c>
      <c r="BI138" s="15">
        <v>0</v>
      </c>
      <c r="BJ138" s="15">
        <v>677.46504074042866</v>
      </c>
      <c r="BK138" s="15">
        <v>866.07912353921438</v>
      </c>
      <c r="BL138" s="15">
        <v>0.75558811245625723</v>
      </c>
      <c r="BM138" s="15">
        <v>0.52622604325298616</v>
      </c>
    </row>
    <row r="139" spans="1:65" s="60" customFormat="1" x14ac:dyDescent="0.35">
      <c r="A139" s="15" t="s">
        <v>10612</v>
      </c>
      <c r="B139" s="15" t="s">
        <v>10320</v>
      </c>
      <c r="C139" s="15" t="s">
        <v>10576</v>
      </c>
      <c r="D139" s="15" t="s">
        <v>10327</v>
      </c>
      <c r="E139" s="15" t="s">
        <v>10743</v>
      </c>
      <c r="F139" s="15">
        <v>16485</v>
      </c>
      <c r="G139" s="15">
        <v>0.89710646041856212</v>
      </c>
      <c r="H139" s="15">
        <v>200</v>
      </c>
      <c r="I139" s="80">
        <v>5860.7560358969276</v>
      </c>
      <c r="J139" s="81">
        <v>-1.0837604753256267</v>
      </c>
      <c r="K139" s="15">
        <v>30</v>
      </c>
      <c r="L139" s="15">
        <v>59.591938295439306</v>
      </c>
      <c r="M139" s="15">
        <v>21.650200303034357</v>
      </c>
      <c r="N139" s="15">
        <v>5.7824415442414487</v>
      </c>
      <c r="O139" s="15">
        <v>4.2258068565805171</v>
      </c>
      <c r="P139" s="15">
        <v>1.0642583662176384</v>
      </c>
      <c r="Q139" s="15">
        <v>0.49237632144329241</v>
      </c>
      <c r="R139" s="15">
        <v>0.49237632144329241</v>
      </c>
      <c r="S139" s="15">
        <v>0</v>
      </c>
      <c r="T139" s="15">
        <v>0</v>
      </c>
      <c r="U139" s="15">
        <v>3666.4664294056538</v>
      </c>
      <c r="V139" s="15">
        <v>0</v>
      </c>
      <c r="W139" s="15">
        <v>0</v>
      </c>
      <c r="X139" s="15">
        <v>0</v>
      </c>
      <c r="Y139" s="15">
        <v>1859.6446391629077</v>
      </c>
      <c r="Z139" s="15">
        <v>0</v>
      </c>
      <c r="AA139" s="15">
        <v>414.21800000000002</v>
      </c>
      <c r="AB139" s="15">
        <v>39.073</v>
      </c>
      <c r="AC139" s="15">
        <v>1406.3536391629077</v>
      </c>
      <c r="AD139" s="15">
        <v>-4001.1113967340198</v>
      </c>
      <c r="AE139" s="15">
        <v>-85.321766613820174</v>
      </c>
      <c r="AF139" s="15">
        <v>0</v>
      </c>
      <c r="AG139" s="15">
        <v>0</v>
      </c>
      <c r="AH139" s="15">
        <v>-4038.7899883496416</v>
      </c>
      <c r="AI139" s="15">
        <v>123.00035822944253</v>
      </c>
      <c r="AJ139" s="15">
        <v>0</v>
      </c>
      <c r="AK139" s="15">
        <v>0</v>
      </c>
      <c r="AL139" s="15">
        <v>0</v>
      </c>
      <c r="AM139" s="15">
        <v>0</v>
      </c>
      <c r="AN139" s="15">
        <v>-2.8450250956193126</v>
      </c>
      <c r="AO139" s="15">
        <v>5860.7560358969276</v>
      </c>
      <c r="AP139" s="15">
        <v>-4124.1117549634619</v>
      </c>
      <c r="AQ139" s="15">
        <v>-85.321766613820174</v>
      </c>
      <c r="AR139" s="15">
        <v>0</v>
      </c>
      <c r="AS139" s="15">
        <v>0</v>
      </c>
      <c r="AT139" s="15">
        <v>-4038.7899883496416</v>
      </c>
      <c r="AU139" s="15">
        <v>2979.9210436291996</v>
      </c>
      <c r="AV139" s="15">
        <v>175.34733937486951</v>
      </c>
      <c r="AW139" s="15">
        <v>175.34733937486951</v>
      </c>
      <c r="AX139" s="15">
        <v>0</v>
      </c>
      <c r="AY139" s="15">
        <v>0</v>
      </c>
      <c r="AZ139" s="15">
        <v>1867.9913148759817</v>
      </c>
      <c r="BA139" s="15">
        <v>82.718698010625417</v>
      </c>
      <c r="BB139" s="15">
        <v>743.86359036056513</v>
      </c>
      <c r="BC139" s="15">
        <v>1041.4090265047912</v>
      </c>
      <c r="BD139" s="15">
        <v>0</v>
      </c>
      <c r="BE139" s="15">
        <v>936.58238937834824</v>
      </c>
      <c r="BF139" s="15">
        <v>328.06991452704153</v>
      </c>
      <c r="BG139" s="15">
        <v>1.5831329762799125</v>
      </c>
      <c r="BH139" s="15">
        <v>606.92934187502681</v>
      </c>
      <c r="BI139" s="15">
        <v>0</v>
      </c>
      <c r="BJ139" s="15">
        <v>-1144.1907113342622</v>
      </c>
      <c r="BK139" s="59">
        <v>-5145.302108068282</v>
      </c>
      <c r="BL139" s="59">
        <v>-4.5164001218156145</v>
      </c>
      <c r="BM139" s="59">
        <v>-1.0837604753256267</v>
      </c>
    </row>
    <row r="140" spans="1:65" s="60" customFormat="1" x14ac:dyDescent="0.35">
      <c r="A140" s="59" t="s">
        <v>10612</v>
      </c>
      <c r="B140" s="59" t="s">
        <v>10320</v>
      </c>
      <c r="C140" s="59" t="s">
        <v>10726</v>
      </c>
      <c r="D140" s="59" t="s">
        <v>10322</v>
      </c>
      <c r="E140" s="59" t="s">
        <v>10744</v>
      </c>
      <c r="F140" s="59">
        <v>16485</v>
      </c>
      <c r="G140" s="59">
        <v>0.89710646041856212</v>
      </c>
      <c r="H140" s="59">
        <v>200</v>
      </c>
      <c r="I140" s="59">
        <v>521.66097486726289</v>
      </c>
      <c r="J140" s="88">
        <v>1.2446670418257535</v>
      </c>
      <c r="K140" s="59">
        <v>30</v>
      </c>
      <c r="L140" s="59">
        <v>39.251983746893458</v>
      </c>
      <c r="M140" s="59">
        <v>8.7016730122390094</v>
      </c>
      <c r="N140" s="59">
        <v>5.7824415442414487</v>
      </c>
      <c r="O140" s="59">
        <v>1.0778153004181124</v>
      </c>
      <c r="P140" s="59">
        <v>2.2389107695667767</v>
      </c>
      <c r="Q140" s="59">
        <v>2.4657154742565583</v>
      </c>
      <c r="R140" s="59">
        <v>0.46114971315325543</v>
      </c>
      <c r="S140" s="59">
        <v>0.96632838183475123</v>
      </c>
      <c r="T140" s="59">
        <v>1.0382373792685522</v>
      </c>
      <c r="U140" s="59">
        <v>0</v>
      </c>
      <c r="V140" s="59">
        <v>0</v>
      </c>
      <c r="W140" s="59">
        <v>175.54856459747168</v>
      </c>
      <c r="X140" s="59">
        <v>0</v>
      </c>
      <c r="Y140" s="59">
        <v>742.18908559445322</v>
      </c>
      <c r="Z140" s="59">
        <v>0</v>
      </c>
      <c r="AA140" s="59">
        <v>414.21800000000002</v>
      </c>
      <c r="AB140" s="59">
        <v>39.073</v>
      </c>
      <c r="AC140" s="59">
        <v>288.89808559445322</v>
      </c>
      <c r="AD140" s="59">
        <v>220.52811072719032</v>
      </c>
      <c r="AE140" s="59">
        <v>-0.62490944247001956</v>
      </c>
      <c r="AF140" s="59">
        <v>104.8786255155094</v>
      </c>
      <c r="AG140" s="59">
        <v>226.42789572039348</v>
      </c>
      <c r="AH140" s="59">
        <v>0</v>
      </c>
      <c r="AI140" s="59">
        <v>101.46076874999999</v>
      </c>
      <c r="AJ140" s="59">
        <v>0</v>
      </c>
      <c r="AK140" s="59">
        <v>-230.97173486624249</v>
      </c>
      <c r="AL140" s="59">
        <v>0</v>
      </c>
      <c r="AM140" s="59">
        <v>19.357465050000005</v>
      </c>
      <c r="AN140" s="59">
        <v>0.76334223632330089</v>
      </c>
      <c r="AO140" s="59">
        <v>521.66097486726289</v>
      </c>
      <c r="AP140" s="59">
        <v>0</v>
      </c>
      <c r="AQ140" s="59">
        <v>0</v>
      </c>
      <c r="AR140" s="59">
        <v>0</v>
      </c>
      <c r="AS140" s="59">
        <v>0</v>
      </c>
      <c r="AT140" s="59">
        <v>0</v>
      </c>
      <c r="AU140" s="59">
        <v>517.66419729123777</v>
      </c>
      <c r="AV140" s="59">
        <v>127.05034921277864</v>
      </c>
      <c r="AW140" s="59">
        <v>127.05034921277864</v>
      </c>
      <c r="AX140" s="59">
        <v>0</v>
      </c>
      <c r="AY140" s="59">
        <v>0</v>
      </c>
      <c r="AZ140" s="59">
        <v>251.10397697533949</v>
      </c>
      <c r="BA140" s="59">
        <v>76.930878417473068</v>
      </c>
      <c r="BB140" s="59">
        <v>72.572124399111019</v>
      </c>
      <c r="BC140" s="59">
        <v>101.60097415875541</v>
      </c>
      <c r="BD140" s="59">
        <v>0</v>
      </c>
      <c r="BE140" s="59">
        <v>139.50987110311968</v>
      </c>
      <c r="BF140" s="59">
        <v>48.434213962699772</v>
      </c>
      <c r="BG140" s="59">
        <v>1.4723613094253221</v>
      </c>
      <c r="BH140" s="59">
        <v>89.603295830994583</v>
      </c>
      <c r="BI140" s="59">
        <v>0</v>
      </c>
      <c r="BJ140" s="59">
        <v>517.66419729123777</v>
      </c>
      <c r="BK140" s="59">
        <v>738.19230801842809</v>
      </c>
      <c r="BL140" s="59">
        <v>2.2474853756401671</v>
      </c>
      <c r="BM140" s="59">
        <v>1.2446670418257535</v>
      </c>
    </row>
    <row r="141" spans="1:65" s="56" customFormat="1" x14ac:dyDescent="0.35">
      <c r="A141" s="55" t="s">
        <v>10612</v>
      </c>
      <c r="B141" s="55" t="s">
        <v>10728</v>
      </c>
      <c r="C141" s="55" t="s">
        <v>9780</v>
      </c>
      <c r="D141" s="55" t="s">
        <v>9780</v>
      </c>
      <c r="E141" s="55" t="s">
        <v>10017</v>
      </c>
      <c r="F141" s="55">
        <f>F132</f>
        <v>56893</v>
      </c>
      <c r="G141" s="55">
        <f>G132</f>
        <v>0.8971338410074764</v>
      </c>
      <c r="H141" s="55">
        <f>(H132*N132+H140*N140)/(N132+N140)</f>
        <v>200.00000000000003</v>
      </c>
      <c r="I141" s="55">
        <f>(I132*N132+I140*N140)/(N132+N140)</f>
        <v>627.08672562876473</v>
      </c>
      <c r="J141" s="89">
        <f>(J132*N132+J140*N140)/(N132+N140)</f>
        <v>1.11408359041301</v>
      </c>
      <c r="K141" s="55">
        <f>K132</f>
        <v>30</v>
      </c>
      <c r="L141" s="55">
        <f t="shared" ref="L141:W141" si="10">L132+L140</f>
        <v>127.24841438742824</v>
      </c>
      <c r="M141" s="55">
        <f t="shared" si="10"/>
        <v>25.446692328169426</v>
      </c>
      <c r="N141" s="55">
        <f t="shared" si="10"/>
        <v>25.739401664939734</v>
      </c>
      <c r="O141" s="55">
        <f t="shared" si="10"/>
        <v>4.4070254092729417</v>
      </c>
      <c r="P141" s="55">
        <f t="shared" si="10"/>
        <v>9.966071104900097</v>
      </c>
      <c r="Q141" s="55">
        <f t="shared" si="10"/>
        <v>11.366305150766697</v>
      </c>
      <c r="R141" s="55">
        <f t="shared" si="10"/>
        <v>2.4433747771416128</v>
      </c>
      <c r="S141" s="55">
        <f t="shared" si="10"/>
        <v>4.3014208046851543</v>
      </c>
      <c r="T141" s="55">
        <f t="shared" si="10"/>
        <v>4.6215095689399295</v>
      </c>
      <c r="U141" s="55">
        <f t="shared" si="10"/>
        <v>0</v>
      </c>
      <c r="V141" s="55">
        <f t="shared" si="10"/>
        <v>0</v>
      </c>
      <c r="W141" s="55">
        <f t="shared" si="10"/>
        <v>781.41992120573877</v>
      </c>
      <c r="X141" s="55">
        <f>(X132*N132+X140*N140)/(N132+N140)</f>
        <v>0</v>
      </c>
      <c r="Y141" s="55">
        <f>(Y132*N132+Y140*N140)/(N132+N140)</f>
        <v>832.84489185317307</v>
      </c>
      <c r="Z141" s="55">
        <f>(Z132*N132+Z140*N140)/(N132+N140)</f>
        <v>0</v>
      </c>
      <c r="AA141" s="55">
        <f>(AA132*N132+AA140*N140)/(N132+N140)</f>
        <v>526.40523994961814</v>
      </c>
      <c r="AB141" s="55">
        <f>(AB132*N132+AB140*N140)/(N132+N140)</f>
        <v>8.7778784215446954</v>
      </c>
      <c r="AC141" s="55">
        <f>(AC132*N132+AC140*N140)/(N132+N140)</f>
        <v>297.66177348201023</v>
      </c>
      <c r="AD141" s="55">
        <f>(AD132*N132+AD140*N140)/(N132+N140)</f>
        <v>205.75816622440846</v>
      </c>
      <c r="AE141" s="55">
        <f>(AE132*N132+AE140*N140)/(N132+N140)</f>
        <v>-9.3885973300270198</v>
      </c>
      <c r="AF141" s="55">
        <f>(AF132*N132+AF140*N140)/(N132+N140)</f>
        <v>47.122658807557997</v>
      </c>
      <c r="AG141" s="55">
        <f>(AG132*N132+AG140*N140)/(N132+N140)</f>
        <v>101.73554832645634</v>
      </c>
      <c r="AH141" s="55">
        <f>(AH132*N132+AH140*N140)/(N132+N140)</f>
        <v>0</v>
      </c>
      <c r="AI141" s="55">
        <f>(AI132*N132+AI140*N140)/(N132+N140)</f>
        <v>101.46076875000001</v>
      </c>
      <c r="AJ141" s="55">
        <f>(AJ132*N132+AJ140*N140)/(N132+N140)</f>
        <v>0</v>
      </c>
      <c r="AK141" s="55">
        <f>(AK132*N132+AK140*N140)/(N132+N140)</f>
        <v>-54.529677379578835</v>
      </c>
      <c r="AL141" s="55">
        <f>(AL132*N132+AL140*N140)/(N132+N140)</f>
        <v>0</v>
      </c>
      <c r="AM141" s="55">
        <f>(AM132*N132+AM140*N140)/(N132+N140)</f>
        <v>19.357465049999998</v>
      </c>
      <c r="AN141" s="55">
        <f>(AN132*N132+AN140*N140)/(N132+N140)</f>
        <v>0.69185800860864466</v>
      </c>
      <c r="AO141" s="55">
        <f>(AO132*N132+AO140*N140)/(N132+N140)</f>
        <v>627.08672562876473</v>
      </c>
      <c r="AP141" s="55">
        <f>(AP132*N132+AP140*N140)/(N132+N140)</f>
        <v>0</v>
      </c>
      <c r="AQ141" s="55">
        <f>(AQ132*N132+AQ140*N140)/(N132+N140)</f>
        <v>0</v>
      </c>
      <c r="AR141" s="55">
        <f>(AR132*N132+AR140*N140)/(N132+N140)</f>
        <v>0</v>
      </c>
      <c r="AS141" s="55">
        <f>(AS132*N132+AS140*N140)/(N132+N140)</f>
        <v>0</v>
      </c>
      <c r="AT141" s="55">
        <f>(AT132*N132+AT140*N140)/(N132+N140)</f>
        <v>0</v>
      </c>
      <c r="AU141" s="55">
        <f>(AU132*N132+AU140*N140)/(N132+N140)</f>
        <v>586.54175128826967</v>
      </c>
      <c r="AV141" s="55">
        <f>(AV132*N132+AV140*N140)/(N132+N140)</f>
        <v>114.78780897275051</v>
      </c>
      <c r="AW141" s="55">
        <f>(AW132*N132+AW140*N140)/(N132+N140)</f>
        <v>114.78780897275051</v>
      </c>
      <c r="AX141" s="55">
        <f>(AX132*N132+AX140*N140)/(N132+N140)</f>
        <v>0</v>
      </c>
      <c r="AY141" s="55">
        <f>(AY132*N132+AY140*N140)/(N132+N140)</f>
        <v>0</v>
      </c>
      <c r="AZ141" s="55">
        <f>(AZ132*N132+AZ140*N140)/(N132+N140)</f>
        <v>338.03382443662719</v>
      </c>
      <c r="BA141" s="55">
        <f>(BA132*N132+BA140*N140)/(N132+N140)</f>
        <v>76.930878417473053</v>
      </c>
      <c r="BB141" s="55">
        <f>(BB132*N132+BB140*N140)/(N132+N140)</f>
        <v>108.79289417464757</v>
      </c>
      <c r="BC141" s="55">
        <f>(BC132*N132+BC140*N140)/(N132+N140)</f>
        <v>152.31005184450657</v>
      </c>
      <c r="BD141" s="55">
        <f>(BD132*N132+BD140*N140)/(N132+N140)</f>
        <v>0</v>
      </c>
      <c r="BE141" s="55">
        <f>(BE132*N132+BE140*N140)/(N132+N140)</f>
        <v>133.7201178788919</v>
      </c>
      <c r="BF141" s="55">
        <f>(BF132*N132+BF140*N140)/(N132+N140)</f>
        <v>46.402721603321609</v>
      </c>
      <c r="BG141" s="55">
        <f>(BG132*N132+BG140*N140)/(N132+N140)</f>
        <v>1.4723613094253216</v>
      </c>
      <c r="BH141" s="55">
        <f>(BH132*N132+BH140*N140)/(N132+N140)</f>
        <v>85.845034966144979</v>
      </c>
      <c r="BI141" s="55">
        <f>(BI132*N132+BI140*N140)/(N132+N140)</f>
        <v>0</v>
      </c>
      <c r="BJ141" s="55">
        <f>(BJ132*N132+BJ140*N140)/(N132+N140)</f>
        <v>586.54175128826967</v>
      </c>
      <c r="BK141" s="55">
        <f>(BK132*N132+BK140*N140)/(N132+N140)</f>
        <v>792.29991751267801</v>
      </c>
      <c r="BL141" s="55">
        <f>(BL132*N132+BL140*N140)/(N132+N140)</f>
        <v>2.3329203344992533</v>
      </c>
      <c r="BM141" s="55">
        <f>(BM132*N132+BM140*N140)/(N132+N140)</f>
        <v>1.11408359041301</v>
      </c>
    </row>
    <row r="142" spans="1:65" x14ac:dyDescent="0.35">
      <c r="A142" s="15" t="s">
        <v>10621</v>
      </c>
      <c r="B142" s="15" t="s">
        <v>10320</v>
      </c>
      <c r="C142" s="15" t="s">
        <v>10575</v>
      </c>
      <c r="D142" s="15" t="s">
        <v>10321</v>
      </c>
      <c r="E142" s="15" t="s">
        <v>10745</v>
      </c>
      <c r="F142" s="15">
        <v>56893</v>
      </c>
      <c r="G142" s="15">
        <v>0.8971338410074764</v>
      </c>
      <c r="H142" s="15">
        <v>200</v>
      </c>
      <c r="I142" s="80">
        <v>1236.4049521248578</v>
      </c>
      <c r="J142" s="79">
        <v>0.78953528923040117</v>
      </c>
      <c r="K142" s="15">
        <v>30</v>
      </c>
      <c r="L142" s="15">
        <v>57.17046535123589</v>
      </c>
      <c r="M142" s="15">
        <v>17.734276605013225</v>
      </c>
      <c r="N142" s="15">
        <v>19.956960120698287</v>
      </c>
      <c r="O142" s="15">
        <v>3.3292101088548294</v>
      </c>
      <c r="P142" s="15">
        <v>7.7271603353333207</v>
      </c>
      <c r="Q142" s="15">
        <v>8.9005896765101387</v>
      </c>
      <c r="R142" s="15">
        <v>1.9822250639883572</v>
      </c>
      <c r="S142" s="15">
        <v>3.3350924228504031</v>
      </c>
      <c r="T142" s="15">
        <v>3.5832721896713773</v>
      </c>
      <c r="U142" s="15">
        <v>0</v>
      </c>
      <c r="V142" s="15">
        <v>2423.4854264330684</v>
      </c>
      <c r="W142" s="15">
        <v>0</v>
      </c>
      <c r="X142" s="15">
        <v>0</v>
      </c>
      <c r="Y142" s="15">
        <v>1378.0360135574172</v>
      </c>
      <c r="Z142" s="15">
        <v>0</v>
      </c>
      <c r="AA142" s="15">
        <v>558.91099999999994</v>
      </c>
      <c r="AB142" s="15">
        <v>518.92399999999998</v>
      </c>
      <c r="AC142" s="15">
        <v>300.20101355741713</v>
      </c>
      <c r="AD142" s="15">
        <v>141.63106143255936</v>
      </c>
      <c r="AE142" s="15">
        <v>10.497023283962298</v>
      </c>
      <c r="AF142" s="15">
        <v>0</v>
      </c>
      <c r="AG142" s="15">
        <v>0</v>
      </c>
      <c r="AH142" s="15">
        <v>29.673269398596947</v>
      </c>
      <c r="AI142" s="15">
        <v>101.46076875</v>
      </c>
      <c r="AJ142" s="15">
        <v>0</v>
      </c>
      <c r="AK142" s="15">
        <v>0</v>
      </c>
      <c r="AL142" s="15">
        <v>0</v>
      </c>
      <c r="AM142" s="15">
        <v>0</v>
      </c>
      <c r="AN142" s="15">
        <v>0.47178741921692641</v>
      </c>
      <c r="AO142" s="15">
        <v>1236.4049521248578</v>
      </c>
      <c r="AP142" s="15">
        <v>40.170292682559243</v>
      </c>
      <c r="AQ142" s="15">
        <v>10.497023283962298</v>
      </c>
      <c r="AR142" s="15">
        <v>0</v>
      </c>
      <c r="AS142" s="15">
        <v>0</v>
      </c>
      <c r="AT142" s="15">
        <v>29.673269398596947</v>
      </c>
      <c r="AU142" s="15">
        <v>894.58500092409849</v>
      </c>
      <c r="AV142" s="15">
        <v>379.28204278499999</v>
      </c>
      <c r="AW142" s="15">
        <v>379.28204278499999</v>
      </c>
      <c r="AX142" s="15">
        <v>0</v>
      </c>
      <c r="AY142" s="15">
        <v>0</v>
      </c>
      <c r="AZ142" s="15">
        <v>323.18473160500582</v>
      </c>
      <c r="BA142" s="15">
        <v>76.930878417473039</v>
      </c>
      <c r="BB142" s="15">
        <v>102.605772161472</v>
      </c>
      <c r="BC142" s="15">
        <v>143.64808102606079</v>
      </c>
      <c r="BD142" s="15">
        <v>0</v>
      </c>
      <c r="BE142" s="15">
        <v>192.11822653409257</v>
      </c>
      <c r="BF142" s="15">
        <v>66.89328604374289</v>
      </c>
      <c r="BG142" s="15">
        <v>1.4723613094253214</v>
      </c>
      <c r="BH142" s="15">
        <v>123.75257918092434</v>
      </c>
      <c r="BI142" s="15">
        <v>0</v>
      </c>
      <c r="BJ142" s="15">
        <v>934.75529360665769</v>
      </c>
      <c r="BK142" s="15">
        <v>1076.3863550392171</v>
      </c>
      <c r="BL142" s="15">
        <v>3.2517723038769573</v>
      </c>
      <c r="BM142" s="15">
        <v>0.78953528923040117</v>
      </c>
    </row>
    <row r="143" spans="1:65" x14ac:dyDescent="0.35">
      <c r="A143" s="15" t="s">
        <v>10621</v>
      </c>
      <c r="B143" s="15" t="s">
        <v>10320</v>
      </c>
      <c r="C143" s="15" t="s">
        <v>10575</v>
      </c>
      <c r="D143" s="15" t="s">
        <v>10322</v>
      </c>
      <c r="E143" s="15" t="s">
        <v>10746</v>
      </c>
      <c r="F143" s="15">
        <v>56893</v>
      </c>
      <c r="G143" s="15">
        <v>0.8971338410074764</v>
      </c>
      <c r="H143" s="15">
        <v>200</v>
      </c>
      <c r="I143" s="80">
        <v>1600.1764442740489</v>
      </c>
      <c r="J143" s="81">
        <v>0.3906883801106848</v>
      </c>
      <c r="K143" s="15">
        <v>30</v>
      </c>
      <c r="L143" s="15">
        <v>57.17046535123589</v>
      </c>
      <c r="M143" s="15">
        <v>17.734276605013225</v>
      </c>
      <c r="N143" s="15">
        <v>19.956960120698287</v>
      </c>
      <c r="O143" s="15">
        <v>3.3292101088548294</v>
      </c>
      <c r="P143" s="15">
        <v>7.7271603353333207</v>
      </c>
      <c r="Q143" s="15">
        <v>8.9005896765101387</v>
      </c>
      <c r="R143" s="15">
        <v>1.9822250639883572</v>
      </c>
      <c r="S143" s="15">
        <v>3.3350924228504031</v>
      </c>
      <c r="T143" s="15">
        <v>3.5832721896713773</v>
      </c>
      <c r="U143" s="15">
        <v>0</v>
      </c>
      <c r="V143" s="15">
        <v>0</v>
      </c>
      <c r="W143" s="15">
        <v>605.87135660826709</v>
      </c>
      <c r="X143" s="15">
        <v>0</v>
      </c>
      <c r="Y143" s="15">
        <v>1378.0360135574172</v>
      </c>
      <c r="Z143" s="15">
        <v>0</v>
      </c>
      <c r="AA143" s="15">
        <v>558.91099999999994</v>
      </c>
      <c r="AB143" s="15">
        <v>518.92399999999998</v>
      </c>
      <c r="AC143" s="15">
        <v>300.20101355741713</v>
      </c>
      <c r="AD143" s="15">
        <v>-222.14043071663173</v>
      </c>
      <c r="AE143" s="15">
        <v>-11.927837405433957</v>
      </c>
      <c r="AF143" s="15">
        <v>30.388121117446168</v>
      </c>
      <c r="AG143" s="15">
        <v>-349.7060349217619</v>
      </c>
      <c r="AH143" s="15">
        <v>0</v>
      </c>
      <c r="AI143" s="15">
        <v>101.46076875</v>
      </c>
      <c r="AJ143" s="15">
        <v>0</v>
      </c>
      <c r="AK143" s="15">
        <v>7.6445517431180843</v>
      </c>
      <c r="AL143" s="15">
        <v>0</v>
      </c>
      <c r="AM143" s="15">
        <v>0</v>
      </c>
      <c r="AN143" s="15">
        <v>-0.73997228751576027</v>
      </c>
      <c r="AO143" s="15">
        <v>1600.1764442740489</v>
      </c>
      <c r="AP143" s="15">
        <v>0</v>
      </c>
      <c r="AQ143" s="15">
        <v>0</v>
      </c>
      <c r="AR143" s="15">
        <v>0</v>
      </c>
      <c r="AS143" s="15">
        <v>0</v>
      </c>
      <c r="AT143" s="15">
        <v>0</v>
      </c>
      <c r="AU143" s="15">
        <v>947.51178717875246</v>
      </c>
      <c r="AV143" s="15">
        <v>379.28204278499999</v>
      </c>
      <c r="AW143" s="15">
        <v>379.28204278499999</v>
      </c>
      <c r="AX143" s="15">
        <v>0</v>
      </c>
      <c r="AY143" s="15">
        <v>0</v>
      </c>
      <c r="AZ143" s="15">
        <v>323.18473160500582</v>
      </c>
      <c r="BA143" s="15">
        <v>76.930878417473039</v>
      </c>
      <c r="BB143" s="15">
        <v>102.605772161472</v>
      </c>
      <c r="BC143" s="15">
        <v>143.64808102606079</v>
      </c>
      <c r="BD143" s="15">
        <v>0</v>
      </c>
      <c r="BE143" s="15">
        <v>245.04501278874665</v>
      </c>
      <c r="BF143" s="15">
        <v>85.464088238358357</v>
      </c>
      <c r="BG143" s="15">
        <v>1.4723613094253214</v>
      </c>
      <c r="BH143" s="15">
        <v>158.10856324096295</v>
      </c>
      <c r="BI143" s="15">
        <v>0</v>
      </c>
      <c r="BJ143" s="15">
        <v>947.51178717875246</v>
      </c>
      <c r="BK143" s="15">
        <v>725.37135646212073</v>
      </c>
      <c r="BL143" s="15">
        <v>2.0825057700384217</v>
      </c>
      <c r="BM143" s="15">
        <v>0.3906883801106848</v>
      </c>
    </row>
    <row r="144" spans="1:65" x14ac:dyDescent="0.35">
      <c r="A144" s="15" t="s">
        <v>10621</v>
      </c>
      <c r="B144" s="15" t="s">
        <v>10320</v>
      </c>
      <c r="C144" s="15" t="s">
        <v>10575</v>
      </c>
      <c r="D144" s="15" t="s">
        <v>10323</v>
      </c>
      <c r="E144" s="15" t="s">
        <v>10747</v>
      </c>
      <c r="F144" s="15">
        <v>56893</v>
      </c>
      <c r="G144" s="15">
        <v>0.8971338410074764</v>
      </c>
      <c r="H144" s="15">
        <v>200</v>
      </c>
      <c r="I144" s="80">
        <v>1268.4425103626563</v>
      </c>
      <c r="J144" s="79">
        <v>0.71852012736344306</v>
      </c>
      <c r="K144" s="15">
        <v>30</v>
      </c>
      <c r="L144" s="15">
        <v>57.17046535123589</v>
      </c>
      <c r="M144" s="15">
        <v>17.734276605013225</v>
      </c>
      <c r="N144" s="15">
        <v>19.956960120698287</v>
      </c>
      <c r="O144" s="15">
        <v>3.3292101088548294</v>
      </c>
      <c r="P144" s="15">
        <v>7.7271603353333207</v>
      </c>
      <c r="Q144" s="15">
        <v>8.9005896765101387</v>
      </c>
      <c r="R144" s="15">
        <v>1.9822250639883572</v>
      </c>
      <c r="S144" s="15">
        <v>3.3350924228504031</v>
      </c>
      <c r="T144" s="15">
        <v>3.5832721896713773</v>
      </c>
      <c r="U144" s="15">
        <v>0</v>
      </c>
      <c r="V144" s="15">
        <v>0</v>
      </c>
      <c r="W144" s="15">
        <v>0</v>
      </c>
      <c r="X144" s="15">
        <v>605871.35660826706</v>
      </c>
      <c r="Y144" s="15">
        <v>1378.0360135574172</v>
      </c>
      <c r="Z144" s="15">
        <v>0</v>
      </c>
      <c r="AA144" s="15">
        <v>558.91099999999994</v>
      </c>
      <c r="AB144" s="15">
        <v>518.92399999999998</v>
      </c>
      <c r="AC144" s="15">
        <v>300.20101355741713</v>
      </c>
      <c r="AD144" s="15">
        <v>109.59350319476084</v>
      </c>
      <c r="AE144" s="15">
        <v>-11.927837405433957</v>
      </c>
      <c r="AF144" s="15">
        <v>0</v>
      </c>
      <c r="AG144" s="15">
        <v>0</v>
      </c>
      <c r="AH144" s="15">
        <v>0</v>
      </c>
      <c r="AI144" s="15">
        <v>101.46076875</v>
      </c>
      <c r="AJ144" s="15">
        <v>0</v>
      </c>
      <c r="AK144" s="15">
        <v>20.060571850194638</v>
      </c>
      <c r="AL144" s="15">
        <v>0</v>
      </c>
      <c r="AM144" s="15">
        <v>0</v>
      </c>
      <c r="AN144" s="15">
        <v>0.36506706588383897</v>
      </c>
      <c r="AO144" s="15">
        <v>1268.4425103626563</v>
      </c>
      <c r="AP144" s="15">
        <v>0</v>
      </c>
      <c r="AQ144" s="15">
        <v>0</v>
      </c>
      <c r="AR144" s="15">
        <v>0</v>
      </c>
      <c r="AS144" s="15">
        <v>0</v>
      </c>
      <c r="AT144" s="15">
        <v>0</v>
      </c>
      <c r="AU144" s="15">
        <v>902.00898446163751</v>
      </c>
      <c r="AV144" s="15">
        <v>379.28204278499999</v>
      </c>
      <c r="AW144" s="15">
        <v>379.28204278499999</v>
      </c>
      <c r="AX144" s="15">
        <v>0</v>
      </c>
      <c r="AY144" s="15">
        <v>0</v>
      </c>
      <c r="AZ144" s="15">
        <v>323.18473160500582</v>
      </c>
      <c r="BA144" s="15">
        <v>76.930878417473039</v>
      </c>
      <c r="BB144" s="15">
        <v>102.605772161472</v>
      </c>
      <c r="BC144" s="15">
        <v>143.64808102606079</v>
      </c>
      <c r="BD144" s="15">
        <v>0</v>
      </c>
      <c r="BE144" s="15">
        <v>199.54221007163159</v>
      </c>
      <c r="BF144" s="15">
        <v>69.498192548142555</v>
      </c>
      <c r="BG144" s="15">
        <v>1.4723613094253214</v>
      </c>
      <c r="BH144" s="15">
        <v>128.57165621406372</v>
      </c>
      <c r="BI144" s="15">
        <v>0</v>
      </c>
      <c r="BJ144" s="15">
        <v>902.00898446163751</v>
      </c>
      <c r="BK144" s="15">
        <v>1011.6024876563984</v>
      </c>
      <c r="BL144" s="15">
        <v>3.0359706761105407</v>
      </c>
      <c r="BM144" s="15">
        <v>0.71852012736344306</v>
      </c>
    </row>
    <row r="145" spans="1:65" x14ac:dyDescent="0.35">
      <c r="A145" s="15" t="s">
        <v>10621</v>
      </c>
      <c r="B145" s="15" t="s">
        <v>10320</v>
      </c>
      <c r="C145" s="15" t="s">
        <v>10575</v>
      </c>
      <c r="D145" s="15" t="s">
        <v>10324</v>
      </c>
      <c r="E145" s="15" t="s">
        <v>10748</v>
      </c>
      <c r="F145" s="15">
        <v>56893</v>
      </c>
      <c r="G145" s="15">
        <v>0.8971338410074764</v>
      </c>
      <c r="H145" s="15">
        <v>200</v>
      </c>
      <c r="I145" s="80">
        <v>1256.9740995104532</v>
      </c>
      <c r="J145" s="79">
        <v>0.7265284555142818</v>
      </c>
      <c r="K145" s="15">
        <v>30</v>
      </c>
      <c r="L145" s="15">
        <v>57.613797514779122</v>
      </c>
      <c r="M145" s="15">
        <v>18.025804716263185</v>
      </c>
      <c r="N145" s="15">
        <v>19.956960120698287</v>
      </c>
      <c r="O145" s="15">
        <v>2.4136945417978555</v>
      </c>
      <c r="P145" s="15">
        <v>8.0541301807108123</v>
      </c>
      <c r="Q145" s="15">
        <v>9.4891353981896192</v>
      </c>
      <c r="R145" s="15">
        <v>1.9822250639883572</v>
      </c>
      <c r="S145" s="15">
        <v>3.9236381445298858</v>
      </c>
      <c r="T145" s="15">
        <v>3.5832721896713773</v>
      </c>
      <c r="U145" s="15">
        <v>0</v>
      </c>
      <c r="V145" s="15">
        <v>0</v>
      </c>
      <c r="W145" s="15">
        <v>0</v>
      </c>
      <c r="X145" s="15">
        <v>0</v>
      </c>
      <c r="Y145" s="15">
        <v>1345.4391753454267</v>
      </c>
      <c r="Z145" s="15">
        <v>0</v>
      </c>
      <c r="AA145" s="15">
        <v>558.91099999999994</v>
      </c>
      <c r="AB145" s="15">
        <v>518.92399999999998</v>
      </c>
      <c r="AC145" s="15">
        <v>267.60417534542665</v>
      </c>
      <c r="AD145" s="15">
        <v>88.465075834973504</v>
      </c>
      <c r="AE145" s="15">
        <v>-12.995692915026602</v>
      </c>
      <c r="AF145" s="15">
        <v>0</v>
      </c>
      <c r="AG145" s="15">
        <v>0</v>
      </c>
      <c r="AH145" s="15">
        <v>0</v>
      </c>
      <c r="AI145" s="15">
        <v>101.46076875</v>
      </c>
      <c r="AJ145" s="15">
        <v>0</v>
      </c>
      <c r="AK145" s="15">
        <v>0</v>
      </c>
      <c r="AL145" s="15">
        <v>0</v>
      </c>
      <c r="AM145" s="15">
        <v>0</v>
      </c>
      <c r="AN145" s="15">
        <v>0.33058182190461616</v>
      </c>
      <c r="AO145" s="15">
        <v>1256.9740995104532</v>
      </c>
      <c r="AP145" s="15">
        <v>0</v>
      </c>
      <c r="AQ145" s="15">
        <v>0</v>
      </c>
      <c r="AR145" s="15">
        <v>0</v>
      </c>
      <c r="AS145" s="15">
        <v>0</v>
      </c>
      <c r="AT145" s="15">
        <v>0</v>
      </c>
      <c r="AU145" s="15">
        <v>892.36655064923798</v>
      </c>
      <c r="AV145" s="15">
        <v>369.14174669999994</v>
      </c>
      <c r="AW145" s="15">
        <v>369.14174669999994</v>
      </c>
      <c r="AX145" s="15">
        <v>0</v>
      </c>
      <c r="AY145" s="15">
        <v>0</v>
      </c>
      <c r="AZ145" s="15">
        <v>328.17547391269812</v>
      </c>
      <c r="BA145" s="15">
        <v>76.930878417473039</v>
      </c>
      <c r="BB145" s="15">
        <v>104.68524812301047</v>
      </c>
      <c r="BC145" s="15">
        <v>146.55934737221463</v>
      </c>
      <c r="BD145" s="15">
        <v>0</v>
      </c>
      <c r="BE145" s="15">
        <v>195.04933003653991</v>
      </c>
      <c r="BF145" s="15">
        <v>67.921743413022668</v>
      </c>
      <c r="BG145" s="15">
        <v>1.4723613094253214</v>
      </c>
      <c r="BH145" s="15">
        <v>125.65522531409192</v>
      </c>
      <c r="BI145" s="15">
        <v>0</v>
      </c>
      <c r="BJ145" s="15">
        <v>892.36655064923798</v>
      </c>
      <c r="BK145" s="15">
        <v>980.83162648421148</v>
      </c>
      <c r="BL145" s="15">
        <v>3.4126053898822017</v>
      </c>
      <c r="BM145" s="15">
        <v>0.7265284555142818</v>
      </c>
    </row>
    <row r="146" spans="1:65" x14ac:dyDescent="0.35">
      <c r="A146" s="15" t="s">
        <v>10621</v>
      </c>
      <c r="B146" s="15" t="s">
        <v>10320</v>
      </c>
      <c r="C146" s="15" t="s">
        <v>10575</v>
      </c>
      <c r="D146" s="15" t="s">
        <v>10325</v>
      </c>
      <c r="E146" s="15" t="s">
        <v>10749</v>
      </c>
      <c r="F146" s="15">
        <v>56893</v>
      </c>
      <c r="G146" s="15">
        <v>0.8971338410074764</v>
      </c>
      <c r="H146" s="15">
        <v>200</v>
      </c>
      <c r="I146" s="80">
        <v>1319.6319075395584</v>
      </c>
      <c r="J146" s="79">
        <v>0.64780132787332534</v>
      </c>
      <c r="K146" s="15">
        <v>30</v>
      </c>
      <c r="L146" s="15">
        <v>54.159032132771081</v>
      </c>
      <c r="M146" s="15">
        <v>16.356634472049187</v>
      </c>
      <c r="N146" s="15">
        <v>19.956960120698287</v>
      </c>
      <c r="O146" s="15">
        <v>4.0816473762855177</v>
      </c>
      <c r="P146" s="15">
        <v>6.9813437894226755</v>
      </c>
      <c r="Q146" s="15">
        <v>8.8939689549900969</v>
      </c>
      <c r="R146" s="15">
        <v>1.9822250639883572</v>
      </c>
      <c r="S146" s="15">
        <v>0</v>
      </c>
      <c r="T146" s="15">
        <v>6.9117438910017412</v>
      </c>
      <c r="U146" s="15">
        <v>0</v>
      </c>
      <c r="V146" s="15">
        <v>0</v>
      </c>
      <c r="W146" s="15">
        <v>0</v>
      </c>
      <c r="X146" s="15">
        <v>0</v>
      </c>
      <c r="Y146" s="15">
        <v>1408.890651784086</v>
      </c>
      <c r="Z146" s="15">
        <v>0</v>
      </c>
      <c r="AA146" s="15">
        <v>558.91099999999994</v>
      </c>
      <c r="AB146" s="15">
        <v>518.92399999999998</v>
      </c>
      <c r="AC146" s="15">
        <v>331.05565178408585</v>
      </c>
      <c r="AD146" s="15">
        <v>89.258744244527634</v>
      </c>
      <c r="AE146" s="15">
        <v>-12.202024505472432</v>
      </c>
      <c r="AF146" s="15">
        <v>0</v>
      </c>
      <c r="AG146" s="15">
        <v>0</v>
      </c>
      <c r="AH146" s="15">
        <v>0</v>
      </c>
      <c r="AI146" s="15">
        <v>101.46076875</v>
      </c>
      <c r="AJ146" s="15">
        <v>0</v>
      </c>
      <c r="AK146" s="15">
        <v>0</v>
      </c>
      <c r="AL146" s="15">
        <v>0</v>
      </c>
      <c r="AM146" s="15">
        <v>0</v>
      </c>
      <c r="AN146" s="15">
        <v>0.26961854831205873</v>
      </c>
      <c r="AO146" s="15">
        <v>1319.6319075395584</v>
      </c>
      <c r="AP146" s="15">
        <v>0</v>
      </c>
      <c r="AQ146" s="15">
        <v>0</v>
      </c>
      <c r="AR146" s="15">
        <v>0</v>
      </c>
      <c r="AS146" s="15">
        <v>0</v>
      </c>
      <c r="AT146" s="15">
        <v>0</v>
      </c>
      <c r="AU146" s="15">
        <v>896.65620954769338</v>
      </c>
      <c r="AV146" s="15">
        <v>402.41200631999999</v>
      </c>
      <c r="AW146" s="15">
        <v>402.41200631999999</v>
      </c>
      <c r="AX146" s="15">
        <v>0</v>
      </c>
      <c r="AY146" s="15">
        <v>0</v>
      </c>
      <c r="AZ146" s="15">
        <v>290.266135547006</v>
      </c>
      <c r="BA146" s="15">
        <v>76.930878417473039</v>
      </c>
      <c r="BB146" s="15">
        <v>88.889690470638726</v>
      </c>
      <c r="BC146" s="15">
        <v>124.44556665889419</v>
      </c>
      <c r="BD146" s="15">
        <v>0</v>
      </c>
      <c r="BE146" s="15">
        <v>203.97806768068739</v>
      </c>
      <c r="BF146" s="15">
        <v>71.054633814477924</v>
      </c>
      <c r="BG146" s="15">
        <v>1.4723613094253214</v>
      </c>
      <c r="BH146" s="15">
        <v>131.45107255678414</v>
      </c>
      <c r="BI146" s="15">
        <v>0</v>
      </c>
      <c r="BJ146" s="15">
        <v>896.65620954769338</v>
      </c>
      <c r="BK146" s="15">
        <v>985.91495379222101</v>
      </c>
      <c r="BL146" s="15">
        <v>2.5822223466091843</v>
      </c>
      <c r="BM146" s="15">
        <v>0.64780132787332534</v>
      </c>
    </row>
    <row r="147" spans="1:65" s="60" customFormat="1" x14ac:dyDescent="0.35">
      <c r="A147" s="15" t="s">
        <v>10621</v>
      </c>
      <c r="B147" s="15" t="s">
        <v>10320</v>
      </c>
      <c r="C147" s="15" t="s">
        <v>10575</v>
      </c>
      <c r="D147" s="15" t="s">
        <v>10326</v>
      </c>
      <c r="E147" s="15" t="s">
        <v>10750</v>
      </c>
      <c r="F147" s="15">
        <v>56893</v>
      </c>
      <c r="G147" s="15">
        <v>0.8971338410074764</v>
      </c>
      <c r="H147" s="15">
        <v>200</v>
      </c>
      <c r="I147" s="80">
        <v>1161.8016579356345</v>
      </c>
      <c r="J147" s="79">
        <v>1.2994434421957857</v>
      </c>
      <c r="K147" s="15">
        <v>30</v>
      </c>
      <c r="L147" s="15">
        <v>54.159032132771081</v>
      </c>
      <c r="M147" s="15">
        <v>14.445231752214077</v>
      </c>
      <c r="N147" s="15">
        <v>19.956960120698287</v>
      </c>
      <c r="O147" s="15">
        <v>14.584541541718936</v>
      </c>
      <c r="P147" s="15">
        <v>3.6730785102145203</v>
      </c>
      <c r="Q147" s="15">
        <v>1.6993400687648355</v>
      </c>
      <c r="R147" s="15">
        <v>1.6993400687648355</v>
      </c>
      <c r="S147" s="15">
        <v>0</v>
      </c>
      <c r="T147" s="15">
        <v>0</v>
      </c>
      <c r="U147" s="15">
        <v>12654.088027642387</v>
      </c>
      <c r="V147" s="15">
        <v>0</v>
      </c>
      <c r="W147" s="15">
        <v>0</v>
      </c>
      <c r="X147" s="15">
        <v>0</v>
      </c>
      <c r="Y147" s="15">
        <v>1692.7318064174017</v>
      </c>
      <c r="Z147" s="15">
        <v>0</v>
      </c>
      <c r="AA147" s="15">
        <v>558.91099999999994</v>
      </c>
      <c r="AB147" s="15">
        <v>518.92399999999998</v>
      </c>
      <c r="AC147" s="15">
        <v>614.89680641740165</v>
      </c>
      <c r="AD147" s="15">
        <v>530.93014848176722</v>
      </c>
      <c r="AE147" s="15">
        <v>7.6478076487470776</v>
      </c>
      <c r="AF147" s="15">
        <v>0</v>
      </c>
      <c r="AG147" s="15">
        <v>0</v>
      </c>
      <c r="AH147" s="15">
        <v>400.28198260357721</v>
      </c>
      <c r="AI147" s="15">
        <v>123.00035822944251</v>
      </c>
      <c r="AJ147" s="15">
        <v>0</v>
      </c>
      <c r="AK147" s="15">
        <v>0</v>
      </c>
      <c r="AL147" s="15">
        <v>0</v>
      </c>
      <c r="AM147" s="15">
        <v>0</v>
      </c>
      <c r="AN147" s="15">
        <v>0.86344593587198348</v>
      </c>
      <c r="AO147" s="15">
        <v>1161.8016579356345</v>
      </c>
      <c r="AP147" s="15">
        <v>407.92979025232427</v>
      </c>
      <c r="AQ147" s="15">
        <v>7.6478076487470776</v>
      </c>
      <c r="AR147" s="15">
        <v>0</v>
      </c>
      <c r="AS147" s="15">
        <v>0</v>
      </c>
      <c r="AT147" s="15">
        <v>400.28198260357721</v>
      </c>
      <c r="AU147" s="15">
        <v>985.73241321996181</v>
      </c>
      <c r="AV147" s="15">
        <v>505.0110378</v>
      </c>
      <c r="AW147" s="15">
        <v>505.0110378</v>
      </c>
      <c r="AX147" s="15">
        <v>0</v>
      </c>
      <c r="AY147" s="15">
        <v>0</v>
      </c>
      <c r="AZ147" s="15">
        <v>296.05395514015834</v>
      </c>
      <c r="BA147" s="15">
        <v>82.718698010625417</v>
      </c>
      <c r="BB147" s="15">
        <v>88.889690470638726</v>
      </c>
      <c r="BC147" s="15">
        <v>124.44556665889419</v>
      </c>
      <c r="BD147" s="15">
        <v>0</v>
      </c>
      <c r="BE147" s="15">
        <v>184.66742027980339</v>
      </c>
      <c r="BF147" s="15">
        <v>64.240100808253857</v>
      </c>
      <c r="BG147" s="15">
        <v>1.583132976279912</v>
      </c>
      <c r="BH147" s="15">
        <v>118.84418649526962</v>
      </c>
      <c r="BI147" s="15">
        <v>0</v>
      </c>
      <c r="BJ147" s="15">
        <v>1393.6622034722861</v>
      </c>
      <c r="BK147" s="59">
        <v>1924.5923519540534</v>
      </c>
      <c r="BL147" s="59">
        <v>2.4552014741020569</v>
      </c>
      <c r="BM147" s="59">
        <v>1.2994434421957857</v>
      </c>
    </row>
    <row r="148" spans="1:65" s="56" customFormat="1" x14ac:dyDescent="0.35">
      <c r="A148" s="15" t="s">
        <v>10621</v>
      </c>
      <c r="B148" s="15" t="s">
        <v>10320</v>
      </c>
      <c r="C148" s="15" t="s">
        <v>10575</v>
      </c>
      <c r="D148" s="15" t="s">
        <v>10327</v>
      </c>
      <c r="E148" s="15" t="s">
        <v>10751</v>
      </c>
      <c r="F148" s="15">
        <v>56893</v>
      </c>
      <c r="G148" s="15">
        <v>0.8971338410074764</v>
      </c>
      <c r="H148" s="15">
        <v>200</v>
      </c>
      <c r="I148" s="80">
        <v>2235.0923532744441</v>
      </c>
      <c r="J148" s="81">
        <v>0.30487114808666405</v>
      </c>
      <c r="K148" s="15">
        <v>30</v>
      </c>
      <c r="L148" s="15">
        <v>53.040684409106227</v>
      </c>
      <c r="M148" s="15">
        <v>22.338493235286492</v>
      </c>
      <c r="N148" s="15">
        <v>19.956960120698287</v>
      </c>
      <c r="O148" s="15">
        <v>14.584541541718936</v>
      </c>
      <c r="P148" s="15">
        <v>3.6730785102145203</v>
      </c>
      <c r="Q148" s="15">
        <v>1.6993400687648355</v>
      </c>
      <c r="R148" s="15">
        <v>1.6993400687648355</v>
      </c>
      <c r="S148" s="15">
        <v>0</v>
      </c>
      <c r="T148" s="15">
        <v>0</v>
      </c>
      <c r="U148" s="15">
        <v>12654.088027642387</v>
      </c>
      <c r="V148" s="15">
        <v>0</v>
      </c>
      <c r="W148" s="15">
        <v>0</v>
      </c>
      <c r="X148" s="15">
        <v>0</v>
      </c>
      <c r="Y148" s="15">
        <v>2582.3726106418203</v>
      </c>
      <c r="Z148" s="15">
        <v>0</v>
      </c>
      <c r="AA148" s="15">
        <v>558.91099999999994</v>
      </c>
      <c r="AB148" s="15">
        <v>518.92399999999998</v>
      </c>
      <c r="AC148" s="15">
        <v>1504.5376106418203</v>
      </c>
      <c r="AD148" s="15">
        <v>347.28025736737618</v>
      </c>
      <c r="AE148" s="15">
        <v>12.86220486509222</v>
      </c>
      <c r="AF148" s="15">
        <v>0</v>
      </c>
      <c r="AG148" s="15">
        <v>0</v>
      </c>
      <c r="AH148" s="15">
        <v>211.41769427284149</v>
      </c>
      <c r="AI148" s="15">
        <v>123.00035822944251</v>
      </c>
      <c r="AJ148" s="15">
        <v>0</v>
      </c>
      <c r="AK148" s="15">
        <v>0</v>
      </c>
      <c r="AL148" s="15">
        <v>0</v>
      </c>
      <c r="AM148" s="15">
        <v>0</v>
      </c>
      <c r="AN148" s="15">
        <v>0.23082191824984022</v>
      </c>
      <c r="AO148" s="15">
        <v>2235.0923532744441</v>
      </c>
      <c r="AP148" s="15">
        <v>224.27989913793371</v>
      </c>
      <c r="AQ148" s="15">
        <v>12.86220486509222</v>
      </c>
      <c r="AR148" s="15">
        <v>0</v>
      </c>
      <c r="AS148" s="15">
        <v>0</v>
      </c>
      <c r="AT148" s="15">
        <v>211.41769427284149</v>
      </c>
      <c r="AU148" s="15">
        <v>1414.3926259590141</v>
      </c>
      <c r="AV148" s="15">
        <v>505.0110378</v>
      </c>
      <c r="AW148" s="15">
        <v>505.0110378</v>
      </c>
      <c r="AX148" s="15">
        <v>0</v>
      </c>
      <c r="AY148" s="15">
        <v>0</v>
      </c>
      <c r="AZ148" s="15">
        <v>571.77024379343038</v>
      </c>
      <c r="BA148" s="15">
        <v>82.718698010625417</v>
      </c>
      <c r="BB148" s="15">
        <v>203.77147740950204</v>
      </c>
      <c r="BC148" s="15">
        <v>285.28006837330287</v>
      </c>
      <c r="BD148" s="15">
        <v>0</v>
      </c>
      <c r="BE148" s="15">
        <v>337.61134436558376</v>
      </c>
      <c r="BF148" s="15">
        <v>117.90463557519433</v>
      </c>
      <c r="BG148" s="15">
        <v>1.583132976279912</v>
      </c>
      <c r="BH148" s="15">
        <v>218.12357581410953</v>
      </c>
      <c r="BI148" s="15">
        <v>0</v>
      </c>
      <c r="BJ148" s="15">
        <v>1638.6725250969478</v>
      </c>
      <c r="BK148" s="55">
        <v>1985.9527824643239</v>
      </c>
      <c r="BL148" s="55">
        <v>0.45290670502535246</v>
      </c>
      <c r="BM148" s="55">
        <v>0.30487114808666405</v>
      </c>
    </row>
    <row r="149" spans="1:65" s="60" customFormat="1" x14ac:dyDescent="0.35">
      <c r="A149" s="59" t="s">
        <v>10621</v>
      </c>
      <c r="B149" s="59" t="s">
        <v>10320</v>
      </c>
      <c r="C149" s="59" t="s">
        <v>10717</v>
      </c>
      <c r="D149" s="59" t="s">
        <v>10326</v>
      </c>
      <c r="E149" s="59" t="s">
        <v>10752</v>
      </c>
      <c r="F149" s="59">
        <v>56893</v>
      </c>
      <c r="G149" s="59">
        <v>0.8971338410074764</v>
      </c>
      <c r="H149" s="59">
        <v>200</v>
      </c>
      <c r="I149" s="59">
        <v>1161.8016579356345</v>
      </c>
      <c r="J149" s="88">
        <v>1.2994434421957857</v>
      </c>
      <c r="K149" s="59">
        <v>30</v>
      </c>
      <c r="L149" s="59">
        <v>54.159032132771081</v>
      </c>
      <c r="M149" s="59">
        <v>14.445231752214077</v>
      </c>
      <c r="N149" s="59">
        <v>19.956960120698287</v>
      </c>
      <c r="O149" s="59">
        <v>14.584541541718936</v>
      </c>
      <c r="P149" s="59">
        <v>3.6730785102145203</v>
      </c>
      <c r="Q149" s="59">
        <v>1.6993400687648355</v>
      </c>
      <c r="R149" s="59">
        <v>1.6993400687648355</v>
      </c>
      <c r="S149" s="59">
        <v>0</v>
      </c>
      <c r="T149" s="59">
        <v>0</v>
      </c>
      <c r="U149" s="59">
        <v>12654.088027642387</v>
      </c>
      <c r="V149" s="59">
        <v>0</v>
      </c>
      <c r="W149" s="59">
        <v>0</v>
      </c>
      <c r="X149" s="59">
        <v>0</v>
      </c>
      <c r="Y149" s="59">
        <v>1692.7318064174017</v>
      </c>
      <c r="Z149" s="59">
        <v>0</v>
      </c>
      <c r="AA149" s="59">
        <v>558.91099999999994</v>
      </c>
      <c r="AB149" s="59">
        <v>518.92399999999998</v>
      </c>
      <c r="AC149" s="59">
        <v>614.89680641740165</v>
      </c>
      <c r="AD149" s="59">
        <v>530.93014848176722</v>
      </c>
      <c r="AE149" s="59">
        <v>7.6478076487470776</v>
      </c>
      <c r="AF149" s="59">
        <v>0</v>
      </c>
      <c r="AG149" s="59">
        <v>0</v>
      </c>
      <c r="AH149" s="59">
        <v>400.28198260357721</v>
      </c>
      <c r="AI149" s="59">
        <v>123.00035822944251</v>
      </c>
      <c r="AJ149" s="59">
        <v>0</v>
      </c>
      <c r="AK149" s="59">
        <v>0</v>
      </c>
      <c r="AL149" s="59">
        <v>0</v>
      </c>
      <c r="AM149" s="59">
        <v>0</v>
      </c>
      <c r="AN149" s="59">
        <v>0.86344593587198348</v>
      </c>
      <c r="AO149" s="59">
        <v>1161.8016579356345</v>
      </c>
      <c r="AP149" s="59">
        <v>407.92979025232427</v>
      </c>
      <c r="AQ149" s="59">
        <v>7.6478076487470776</v>
      </c>
      <c r="AR149" s="59">
        <v>0</v>
      </c>
      <c r="AS149" s="59">
        <v>0</v>
      </c>
      <c r="AT149" s="59">
        <v>400.28198260357721</v>
      </c>
      <c r="AU149" s="59">
        <v>985.73241321996181</v>
      </c>
      <c r="AV149" s="59">
        <v>505.0110378</v>
      </c>
      <c r="AW149" s="59">
        <v>505.0110378</v>
      </c>
      <c r="AX149" s="59">
        <v>0</v>
      </c>
      <c r="AY149" s="59">
        <v>0</v>
      </c>
      <c r="AZ149" s="59">
        <v>296.05395514015834</v>
      </c>
      <c r="BA149" s="59">
        <v>82.718698010625417</v>
      </c>
      <c r="BB149" s="59">
        <v>88.889690470638726</v>
      </c>
      <c r="BC149" s="59">
        <v>124.44556665889419</v>
      </c>
      <c r="BD149" s="59">
        <v>0</v>
      </c>
      <c r="BE149" s="59">
        <v>184.66742027980339</v>
      </c>
      <c r="BF149" s="59">
        <v>64.240100808253857</v>
      </c>
      <c r="BG149" s="59">
        <v>1.583132976279912</v>
      </c>
      <c r="BH149" s="59">
        <v>118.84418649526962</v>
      </c>
      <c r="BI149" s="59">
        <v>0</v>
      </c>
      <c r="BJ149" s="59">
        <v>1393.6622034722861</v>
      </c>
      <c r="BK149" s="59">
        <v>1924.5923519540534</v>
      </c>
      <c r="BL149" s="59">
        <v>2.4552014741020569</v>
      </c>
      <c r="BM149" s="59">
        <v>1.2994434421957857</v>
      </c>
    </row>
    <row r="150" spans="1:65" x14ac:dyDescent="0.35">
      <c r="A150" s="15" t="s">
        <v>10621</v>
      </c>
      <c r="B150" s="15" t="s">
        <v>10320</v>
      </c>
      <c r="C150" s="15" t="s">
        <v>10576</v>
      </c>
      <c r="D150" s="15" t="s">
        <v>10321</v>
      </c>
      <c r="E150" s="15" t="s">
        <v>10753</v>
      </c>
      <c r="F150" s="15">
        <v>16485</v>
      </c>
      <c r="G150" s="15">
        <v>0.89710646041856212</v>
      </c>
      <c r="H150" s="15">
        <v>200</v>
      </c>
      <c r="I150" s="80">
        <v>727.38798289729414</v>
      </c>
      <c r="J150" s="79">
        <v>0.68504808093393299</v>
      </c>
      <c r="K150" s="15">
        <v>30</v>
      </c>
      <c r="L150" s="15">
        <v>10.873251962752928</v>
      </c>
      <c r="M150" s="15">
        <v>6.0907864560765885</v>
      </c>
      <c r="N150" s="15">
        <v>5.7824415442414487</v>
      </c>
      <c r="O150" s="15">
        <v>1.0778153004181124</v>
      </c>
      <c r="P150" s="15">
        <v>2.2389107695667767</v>
      </c>
      <c r="Q150" s="15">
        <v>2.4657154742565583</v>
      </c>
      <c r="R150" s="15">
        <v>0.46114971315325543</v>
      </c>
      <c r="S150" s="15">
        <v>0.96632838183475123</v>
      </c>
      <c r="T150" s="15">
        <v>1.0382373792685522</v>
      </c>
      <c r="U150" s="15">
        <v>0</v>
      </c>
      <c r="V150" s="15">
        <v>702.19425838988673</v>
      </c>
      <c r="W150" s="15">
        <v>0</v>
      </c>
      <c r="X150" s="15">
        <v>0</v>
      </c>
      <c r="Y150" s="15">
        <v>869.64808559445328</v>
      </c>
      <c r="Z150" s="15">
        <v>0</v>
      </c>
      <c r="AA150" s="15">
        <v>414.21800000000002</v>
      </c>
      <c r="AB150" s="15">
        <v>166.53200000000001</v>
      </c>
      <c r="AC150" s="15">
        <v>288.89808559445322</v>
      </c>
      <c r="AD150" s="15">
        <v>142.26010269715914</v>
      </c>
      <c r="AE150" s="15">
        <v>0.54994788619329271</v>
      </c>
      <c r="AF150" s="15">
        <v>0</v>
      </c>
      <c r="AG150" s="15">
        <v>0</v>
      </c>
      <c r="AH150" s="15">
        <v>40.24938606096589</v>
      </c>
      <c r="AI150" s="15">
        <v>101.46076874999999</v>
      </c>
      <c r="AJ150" s="15">
        <v>3.3699185448740509E-15</v>
      </c>
      <c r="AK150" s="15">
        <v>0</v>
      </c>
      <c r="AL150" s="15">
        <v>0</v>
      </c>
      <c r="AM150" s="15">
        <v>0</v>
      </c>
      <c r="AN150" s="15">
        <v>0.49242314086102928</v>
      </c>
      <c r="AO150" s="15">
        <v>727.38798289729414</v>
      </c>
      <c r="AP150" s="15">
        <v>40.799333947159184</v>
      </c>
      <c r="AQ150" s="15">
        <v>0.54994788619329271</v>
      </c>
      <c r="AR150" s="15">
        <v>0</v>
      </c>
      <c r="AS150" s="15">
        <v>0</v>
      </c>
      <c r="AT150" s="15">
        <v>40.24938606096589</v>
      </c>
      <c r="AU150" s="15">
        <v>404.13439072833069</v>
      </c>
      <c r="AV150" s="15">
        <v>163.33314175500001</v>
      </c>
      <c r="AW150" s="15">
        <v>163.33314175500001</v>
      </c>
      <c r="AX150" s="15">
        <v>0</v>
      </c>
      <c r="AY150" s="15">
        <v>0</v>
      </c>
      <c r="AZ150" s="15">
        <v>121.21794055416593</v>
      </c>
      <c r="BA150" s="15">
        <v>76.930878417473068</v>
      </c>
      <c r="BB150" s="15">
        <v>18.452942556955357</v>
      </c>
      <c r="BC150" s="15">
        <v>25.8341195797375</v>
      </c>
      <c r="BD150" s="15">
        <v>0</v>
      </c>
      <c r="BE150" s="15">
        <v>119.58330841916472</v>
      </c>
      <c r="BF150" s="15">
        <v>41.442437582364704</v>
      </c>
      <c r="BG150" s="15">
        <v>1.4723613094253221</v>
      </c>
      <c r="BH150" s="15">
        <v>76.668509527374695</v>
      </c>
      <c r="BI150" s="15">
        <v>0</v>
      </c>
      <c r="BJ150" s="15">
        <v>444.93372467548988</v>
      </c>
      <c r="BK150" s="15">
        <v>587.19382737264903</v>
      </c>
      <c r="BL150" s="15">
        <v>1.7248149663327605</v>
      </c>
      <c r="BM150" s="15">
        <v>0.68504808093393299</v>
      </c>
    </row>
    <row r="151" spans="1:65" x14ac:dyDescent="0.35">
      <c r="A151" s="15" t="s">
        <v>10621</v>
      </c>
      <c r="B151" s="15" t="s">
        <v>10320</v>
      </c>
      <c r="C151" s="15" t="s">
        <v>10576</v>
      </c>
      <c r="D151" s="15" t="s">
        <v>10322</v>
      </c>
      <c r="E151" s="15" t="s">
        <v>10754</v>
      </c>
      <c r="F151" s="15">
        <v>16485</v>
      </c>
      <c r="G151" s="15">
        <v>0.89710646041856212</v>
      </c>
      <c r="H151" s="15">
        <v>200</v>
      </c>
      <c r="I151" s="80">
        <v>1944.8450635667898</v>
      </c>
      <c r="J151" s="81">
        <v>-0.30697239175339402</v>
      </c>
      <c r="K151" s="15">
        <v>30</v>
      </c>
      <c r="L151" s="15">
        <v>10.873251962752928</v>
      </c>
      <c r="M151" s="15">
        <v>6.0907864560765885</v>
      </c>
      <c r="N151" s="15">
        <v>5.7824415442414487</v>
      </c>
      <c r="O151" s="15">
        <v>1.0778153004181124</v>
      </c>
      <c r="P151" s="15">
        <v>2.2389107695667767</v>
      </c>
      <c r="Q151" s="15">
        <v>2.4657154742565583</v>
      </c>
      <c r="R151" s="15">
        <v>0.46114971315325543</v>
      </c>
      <c r="S151" s="15">
        <v>0.96632838183475123</v>
      </c>
      <c r="T151" s="15">
        <v>1.0382373792685522</v>
      </c>
      <c r="U151" s="15">
        <v>0</v>
      </c>
      <c r="V151" s="15">
        <v>0</v>
      </c>
      <c r="W151" s="15">
        <v>175.54856459747168</v>
      </c>
      <c r="X151" s="15">
        <v>0</v>
      </c>
      <c r="Y151" s="15">
        <v>869.64808559445328</v>
      </c>
      <c r="Z151" s="15">
        <v>0</v>
      </c>
      <c r="AA151" s="15">
        <v>414.21800000000002</v>
      </c>
      <c r="AB151" s="15">
        <v>166.53200000000001</v>
      </c>
      <c r="AC151" s="15">
        <v>288.89808559445322</v>
      </c>
      <c r="AD151" s="15">
        <v>-1075.1969779723365</v>
      </c>
      <c r="AE151" s="15">
        <v>-0.62490944247001956</v>
      </c>
      <c r="AF151" s="15">
        <v>104.8786255155094</v>
      </c>
      <c r="AG151" s="15">
        <v>-1206.9416248317048</v>
      </c>
      <c r="AH151" s="15">
        <v>0</v>
      </c>
      <c r="AI151" s="15">
        <v>101.46076874999999</v>
      </c>
      <c r="AJ151" s="15">
        <v>0</v>
      </c>
      <c r="AK151" s="15">
        <v>-73.969837963671196</v>
      </c>
      <c r="AL151" s="15">
        <v>0</v>
      </c>
      <c r="AM151" s="15">
        <v>0</v>
      </c>
      <c r="AN151" s="15">
        <v>-3.7217172130440037</v>
      </c>
      <c r="AO151" s="15">
        <v>1944.8450635667898</v>
      </c>
      <c r="AP151" s="15">
        <v>0</v>
      </c>
      <c r="AQ151" s="15">
        <v>0</v>
      </c>
      <c r="AR151" s="15">
        <v>0</v>
      </c>
      <c r="AS151" s="15">
        <v>0</v>
      </c>
      <c r="AT151" s="15">
        <v>0</v>
      </c>
      <c r="AU151" s="15">
        <v>567.08132281391067</v>
      </c>
      <c r="AV151" s="15">
        <v>163.33314175500001</v>
      </c>
      <c r="AW151" s="15">
        <v>163.33314175500001</v>
      </c>
      <c r="AX151" s="15">
        <v>0</v>
      </c>
      <c r="AY151" s="15">
        <v>0</v>
      </c>
      <c r="AZ151" s="15">
        <v>121.21794055416593</v>
      </c>
      <c r="BA151" s="15">
        <v>76.930878417473068</v>
      </c>
      <c r="BB151" s="15">
        <v>18.452942556955357</v>
      </c>
      <c r="BC151" s="15">
        <v>25.8341195797375</v>
      </c>
      <c r="BD151" s="15">
        <v>0</v>
      </c>
      <c r="BE151" s="15">
        <v>282.53024050474471</v>
      </c>
      <c r="BF151" s="15">
        <v>98.616799717655937</v>
      </c>
      <c r="BG151" s="15">
        <v>1.4723613094253221</v>
      </c>
      <c r="BH151" s="15">
        <v>182.44107947766346</v>
      </c>
      <c r="BI151" s="15">
        <v>0</v>
      </c>
      <c r="BJ151" s="15">
        <v>567.08132281391067</v>
      </c>
      <c r="BK151" s="15">
        <v>-508.11565515842585</v>
      </c>
      <c r="BL151" s="15">
        <v>-2.0665202385278167</v>
      </c>
      <c r="BM151" s="15">
        <v>-0.30697239175339402</v>
      </c>
    </row>
    <row r="152" spans="1:65" x14ac:dyDescent="0.35">
      <c r="A152" s="15" t="s">
        <v>10621</v>
      </c>
      <c r="B152" s="15" t="s">
        <v>10320</v>
      </c>
      <c r="C152" s="15" t="s">
        <v>10576</v>
      </c>
      <c r="D152" s="15" t="s">
        <v>10323</v>
      </c>
      <c r="E152" s="15" t="s">
        <v>10755</v>
      </c>
      <c r="F152" s="15">
        <v>16485</v>
      </c>
      <c r="G152" s="15">
        <v>0.89710646041856212</v>
      </c>
      <c r="H152" s="15">
        <v>200</v>
      </c>
      <c r="I152" s="80">
        <v>799.93061192913046</v>
      </c>
      <c r="J152" s="79">
        <v>0.48861329677035814</v>
      </c>
      <c r="K152" s="15">
        <v>30</v>
      </c>
      <c r="L152" s="15">
        <v>10.873251962752928</v>
      </c>
      <c r="M152" s="15">
        <v>6.0907864560765885</v>
      </c>
      <c r="N152" s="15">
        <v>5.7824415442414487</v>
      </c>
      <c r="O152" s="15">
        <v>1.0778153004181124</v>
      </c>
      <c r="P152" s="15">
        <v>2.2389107695667767</v>
      </c>
      <c r="Q152" s="15">
        <v>2.4657154742565583</v>
      </c>
      <c r="R152" s="15">
        <v>0.46114971315325543</v>
      </c>
      <c r="S152" s="15">
        <v>0.96632838183475123</v>
      </c>
      <c r="T152" s="15">
        <v>1.0382373792685522</v>
      </c>
      <c r="U152" s="15">
        <v>0</v>
      </c>
      <c r="V152" s="15">
        <v>0</v>
      </c>
      <c r="W152" s="15">
        <v>0</v>
      </c>
      <c r="X152" s="15">
        <v>175548.56459747168</v>
      </c>
      <c r="Y152" s="15">
        <v>869.64808559445328</v>
      </c>
      <c r="Z152" s="15">
        <v>0</v>
      </c>
      <c r="AA152" s="15">
        <v>414.21800000000002</v>
      </c>
      <c r="AB152" s="15">
        <v>166.53200000000001</v>
      </c>
      <c r="AC152" s="15">
        <v>288.89808559445322</v>
      </c>
      <c r="AD152" s="15">
        <v>69.717473665322814</v>
      </c>
      <c r="AE152" s="15">
        <v>-0.62490944247001956</v>
      </c>
      <c r="AF152" s="15">
        <v>0</v>
      </c>
      <c r="AG152" s="15">
        <v>0</v>
      </c>
      <c r="AH152" s="15">
        <v>0</v>
      </c>
      <c r="AI152" s="15">
        <v>101.46076874999999</v>
      </c>
      <c r="AJ152" s="15">
        <v>0</v>
      </c>
      <c r="AK152" s="15">
        <v>-31.118385642207205</v>
      </c>
      <c r="AL152" s="15">
        <v>0</v>
      </c>
      <c r="AM152" s="15">
        <v>0</v>
      </c>
      <c r="AN152" s="15">
        <v>0.24132203410717712</v>
      </c>
      <c r="AO152" s="15">
        <v>799.93061192913046</v>
      </c>
      <c r="AP152" s="15">
        <v>0</v>
      </c>
      <c r="AQ152" s="15">
        <v>0</v>
      </c>
      <c r="AR152" s="15">
        <v>0</v>
      </c>
      <c r="AS152" s="15">
        <v>0</v>
      </c>
      <c r="AT152" s="15">
        <v>0</v>
      </c>
      <c r="AU152" s="15">
        <v>410.03734541135282</v>
      </c>
      <c r="AV152" s="15">
        <v>163.33314175500001</v>
      </c>
      <c r="AW152" s="15">
        <v>163.33314175500001</v>
      </c>
      <c r="AX152" s="15">
        <v>0</v>
      </c>
      <c r="AY152" s="15">
        <v>0</v>
      </c>
      <c r="AZ152" s="15">
        <v>121.21794055416593</v>
      </c>
      <c r="BA152" s="15">
        <v>76.930878417473068</v>
      </c>
      <c r="BB152" s="15">
        <v>18.452942556955357</v>
      </c>
      <c r="BC152" s="15">
        <v>25.8341195797375</v>
      </c>
      <c r="BD152" s="15">
        <v>0</v>
      </c>
      <c r="BE152" s="15">
        <v>125.48626310218688</v>
      </c>
      <c r="BF152" s="15">
        <v>43.513649751846167</v>
      </c>
      <c r="BG152" s="15">
        <v>1.4723613094253221</v>
      </c>
      <c r="BH152" s="15">
        <v>80.500252040915399</v>
      </c>
      <c r="BI152" s="15">
        <v>0</v>
      </c>
      <c r="BJ152" s="15">
        <v>410.03734541135282</v>
      </c>
      <c r="BK152" s="15">
        <v>479.75481907667563</v>
      </c>
      <c r="BL152" s="15">
        <v>1.3529225459489398</v>
      </c>
      <c r="BM152" s="15">
        <v>0.48861329677035814</v>
      </c>
    </row>
    <row r="153" spans="1:65" x14ac:dyDescent="0.35">
      <c r="A153" s="15" t="s">
        <v>10621</v>
      </c>
      <c r="B153" s="15" t="s">
        <v>10320</v>
      </c>
      <c r="C153" s="15" t="s">
        <v>10576</v>
      </c>
      <c r="D153" s="15" t="s">
        <v>10324</v>
      </c>
      <c r="E153" s="15" t="s">
        <v>10756</v>
      </c>
      <c r="F153" s="15">
        <v>16485</v>
      </c>
      <c r="G153" s="15">
        <v>0.89710646041856212</v>
      </c>
      <c r="H153" s="15">
        <v>200</v>
      </c>
      <c r="I153" s="80">
        <v>735.48505049950847</v>
      </c>
      <c r="J153" s="79">
        <v>0.61344159301186441</v>
      </c>
      <c r="K153" s="15">
        <v>30</v>
      </c>
      <c r="L153" s="15">
        <v>11.001739947088566</v>
      </c>
      <c r="M153" s="15">
        <v>6.1440905878743433</v>
      </c>
      <c r="N153" s="15">
        <v>5.7824415442414487</v>
      </c>
      <c r="O153" s="15">
        <v>0.81254868579680817</v>
      </c>
      <c r="P153" s="15">
        <v>2.3336488462172427</v>
      </c>
      <c r="Q153" s="15">
        <v>2.6362440122273969</v>
      </c>
      <c r="R153" s="15">
        <v>0.46114971315325543</v>
      </c>
      <c r="S153" s="15">
        <v>1.1368569198055898</v>
      </c>
      <c r="T153" s="15">
        <v>1.0382373792685522</v>
      </c>
      <c r="U153" s="15">
        <v>0</v>
      </c>
      <c r="V153" s="15">
        <v>0</v>
      </c>
      <c r="W153" s="15">
        <v>0</v>
      </c>
      <c r="X153" s="15">
        <v>0</v>
      </c>
      <c r="Y153" s="15">
        <v>836.15215083995417</v>
      </c>
      <c r="Z153" s="15">
        <v>0</v>
      </c>
      <c r="AA153" s="15">
        <v>414.21800000000002</v>
      </c>
      <c r="AB153" s="15">
        <v>166.53200000000001</v>
      </c>
      <c r="AC153" s="15">
        <v>255.40215083995423</v>
      </c>
      <c r="AD153" s="15">
        <v>100.6671003404457</v>
      </c>
      <c r="AE153" s="15">
        <v>-0.79366840955416906</v>
      </c>
      <c r="AF153" s="15">
        <v>0</v>
      </c>
      <c r="AG153" s="15">
        <v>0</v>
      </c>
      <c r="AH153" s="15">
        <v>0</v>
      </c>
      <c r="AI153" s="15">
        <v>101.46076874999999</v>
      </c>
      <c r="AJ153" s="15">
        <v>0</v>
      </c>
      <c r="AK153" s="15">
        <v>0</v>
      </c>
      <c r="AL153" s="15">
        <v>0</v>
      </c>
      <c r="AM153" s="15">
        <v>0</v>
      </c>
      <c r="AN153" s="15">
        <v>0.39415134136253988</v>
      </c>
      <c r="AO153" s="15">
        <v>735.48505049950847</v>
      </c>
      <c r="AP153" s="15">
        <v>0</v>
      </c>
      <c r="AQ153" s="15">
        <v>0</v>
      </c>
      <c r="AR153" s="15">
        <v>0</v>
      </c>
      <c r="AS153" s="15">
        <v>0</v>
      </c>
      <c r="AT153" s="15">
        <v>0</v>
      </c>
      <c r="AU153" s="15">
        <v>405.91217151433852</v>
      </c>
      <c r="AV153" s="15">
        <v>158.9663481</v>
      </c>
      <c r="AW153" s="15">
        <v>158.9663481</v>
      </c>
      <c r="AX153" s="15">
        <v>0</v>
      </c>
      <c r="AY153" s="15">
        <v>0</v>
      </c>
      <c r="AZ153" s="15">
        <v>126.20868286185822</v>
      </c>
      <c r="BA153" s="15">
        <v>76.930878417473068</v>
      </c>
      <c r="BB153" s="15">
        <v>20.532418518493817</v>
      </c>
      <c r="BC153" s="15">
        <v>28.745385925891341</v>
      </c>
      <c r="BD153" s="15">
        <v>0</v>
      </c>
      <c r="BE153" s="15">
        <v>120.73714055248028</v>
      </c>
      <c r="BF153" s="15">
        <v>41.847290962475427</v>
      </c>
      <c r="BG153" s="15">
        <v>1.4723613094253221</v>
      </c>
      <c r="BH153" s="15">
        <v>77.417488280579533</v>
      </c>
      <c r="BI153" s="15">
        <v>0</v>
      </c>
      <c r="BJ153" s="15">
        <v>405.91217151433852</v>
      </c>
      <c r="BK153" s="15">
        <v>506.57927185478422</v>
      </c>
      <c r="BL153" s="15">
        <v>1.7665361060234634</v>
      </c>
      <c r="BM153" s="15">
        <v>0.61344159301186441</v>
      </c>
    </row>
    <row r="154" spans="1:65" x14ac:dyDescent="0.35">
      <c r="A154" s="15" t="s">
        <v>10621</v>
      </c>
      <c r="B154" s="15" t="s">
        <v>10320</v>
      </c>
      <c r="C154" s="15" t="s">
        <v>10576</v>
      </c>
      <c r="D154" s="15" t="s">
        <v>10325</v>
      </c>
      <c r="E154" s="15" t="s">
        <v>10757</v>
      </c>
      <c r="F154" s="15">
        <v>16485</v>
      </c>
      <c r="G154" s="15">
        <v>0.89710646041856212</v>
      </c>
      <c r="H154" s="15">
        <v>200</v>
      </c>
      <c r="I154" s="80">
        <v>798.1428585286136</v>
      </c>
      <c r="J154" s="79">
        <v>0.45417642966041982</v>
      </c>
      <c r="K154" s="15">
        <v>30</v>
      </c>
      <c r="L154" s="15">
        <v>10</v>
      </c>
      <c r="M154" s="15">
        <v>5.5032917294837862</v>
      </c>
      <c r="N154" s="15">
        <v>5.7824415442414487</v>
      </c>
      <c r="O154" s="15">
        <v>1.2958306939606479</v>
      </c>
      <c r="P154" s="15">
        <v>2.0228137010065432</v>
      </c>
      <c r="Q154" s="15">
        <v>2.463797149274257</v>
      </c>
      <c r="R154" s="15">
        <v>0.46114971315325543</v>
      </c>
      <c r="S154" s="15">
        <v>0</v>
      </c>
      <c r="T154" s="15">
        <v>2.0026474361210012</v>
      </c>
      <c r="U154" s="15">
        <v>0</v>
      </c>
      <c r="V154" s="15">
        <v>0</v>
      </c>
      <c r="W154" s="15">
        <v>0</v>
      </c>
      <c r="X154" s="15">
        <v>0</v>
      </c>
      <c r="Y154" s="15">
        <v>899.60362727861343</v>
      </c>
      <c r="Z154" s="15">
        <v>0</v>
      </c>
      <c r="AA154" s="15">
        <v>414.21800000000002</v>
      </c>
      <c r="AB154" s="15">
        <v>166.53200000000001</v>
      </c>
      <c r="AC154" s="15">
        <v>318.85362727861343</v>
      </c>
      <c r="AD154" s="15">
        <v>101.46076874999983</v>
      </c>
      <c r="AE154" s="15">
        <v>0</v>
      </c>
      <c r="AF154" s="15">
        <v>0</v>
      </c>
      <c r="AG154" s="15">
        <v>0</v>
      </c>
      <c r="AH154" s="15">
        <v>0</v>
      </c>
      <c r="AI154" s="15">
        <v>101.46076874999999</v>
      </c>
      <c r="AJ154" s="15">
        <v>0</v>
      </c>
      <c r="AK154" s="15">
        <v>0</v>
      </c>
      <c r="AL154" s="15">
        <v>0</v>
      </c>
      <c r="AM154" s="15">
        <v>0</v>
      </c>
      <c r="AN154" s="15">
        <v>0.31820484407205341</v>
      </c>
      <c r="AO154" s="15">
        <v>798.1428585286136</v>
      </c>
      <c r="AP154" s="15">
        <v>0</v>
      </c>
      <c r="AQ154" s="15">
        <v>0</v>
      </c>
      <c r="AR154" s="15">
        <v>0</v>
      </c>
      <c r="AS154" s="15">
        <v>0</v>
      </c>
      <c r="AT154" s="15">
        <v>0</v>
      </c>
      <c r="AU154" s="15">
        <v>379.89053237410087</v>
      </c>
      <c r="AV154" s="15">
        <v>173.29377576000002</v>
      </c>
      <c r="AW154" s="15">
        <v>173.29377576000002</v>
      </c>
      <c r="AX154" s="15">
        <v>0</v>
      </c>
      <c r="AY154" s="15">
        <v>0</v>
      </c>
      <c r="AZ154" s="15">
        <v>76.930878417473068</v>
      </c>
      <c r="BA154" s="15">
        <v>76.930878417473068</v>
      </c>
      <c r="BB154" s="15">
        <v>0</v>
      </c>
      <c r="BC154" s="15">
        <v>0</v>
      </c>
      <c r="BD154" s="15">
        <v>0</v>
      </c>
      <c r="BE154" s="15">
        <v>129.66587819662777</v>
      </c>
      <c r="BF154" s="15">
        <v>44.980181363930683</v>
      </c>
      <c r="BG154" s="15">
        <v>1.4723613094253221</v>
      </c>
      <c r="BH154" s="15">
        <v>83.213335523271752</v>
      </c>
      <c r="BI154" s="15">
        <v>0</v>
      </c>
      <c r="BJ154" s="15">
        <v>379.89053237410087</v>
      </c>
      <c r="BK154" s="15">
        <v>481.3513011241007</v>
      </c>
      <c r="BL154" s="15">
        <v>1.1368779992856652</v>
      </c>
      <c r="BM154" s="15">
        <v>0.45417642966041982</v>
      </c>
    </row>
    <row r="155" spans="1:65" x14ac:dyDescent="0.35">
      <c r="A155" s="15" t="s">
        <v>10621</v>
      </c>
      <c r="B155" s="15" t="s">
        <v>10320</v>
      </c>
      <c r="C155" s="15" t="s">
        <v>10576</v>
      </c>
      <c r="D155" s="15" t="s">
        <v>10326</v>
      </c>
      <c r="E155" s="15" t="s">
        <v>10758</v>
      </c>
      <c r="F155" s="15">
        <v>16485</v>
      </c>
      <c r="G155" s="15">
        <v>0.89710646041856212</v>
      </c>
      <c r="H155" s="15">
        <v>200</v>
      </c>
      <c r="I155" s="78">
        <v>-61.745729314449108</v>
      </c>
      <c r="J155" s="81">
        <v>-36.921541384108636</v>
      </c>
      <c r="K155" s="15">
        <v>30</v>
      </c>
      <c r="L155" s="15">
        <v>10</v>
      </c>
      <c r="M155" s="15">
        <v>5.2647957315519145</v>
      </c>
      <c r="N155" s="15">
        <v>5.7824415442414487</v>
      </c>
      <c r="O155" s="15">
        <v>4.2258068565805171</v>
      </c>
      <c r="P155" s="15">
        <v>1.0642583662176384</v>
      </c>
      <c r="Q155" s="15">
        <v>0.49237632144329241</v>
      </c>
      <c r="R155" s="15">
        <v>0.49237632144329241</v>
      </c>
      <c r="S155" s="15">
        <v>0</v>
      </c>
      <c r="T155" s="15">
        <v>0</v>
      </c>
      <c r="U155" s="15">
        <v>3666.4664294056538</v>
      </c>
      <c r="V155" s="15">
        <v>0</v>
      </c>
      <c r="W155" s="15">
        <v>0</v>
      </c>
      <c r="X155" s="15">
        <v>0</v>
      </c>
      <c r="Y155" s="15">
        <v>1187.9989987686545</v>
      </c>
      <c r="Z155" s="15">
        <v>0</v>
      </c>
      <c r="AA155" s="15">
        <v>414.21800000000002</v>
      </c>
      <c r="AB155" s="15">
        <v>166.53200000000001</v>
      </c>
      <c r="AC155" s="15">
        <v>607.24899876865459</v>
      </c>
      <c r="AD155" s="15">
        <v>1249.7447280831036</v>
      </c>
      <c r="AE155" s="15">
        <v>0</v>
      </c>
      <c r="AF155" s="15">
        <v>0</v>
      </c>
      <c r="AG155" s="15">
        <v>0</v>
      </c>
      <c r="AH155" s="15">
        <v>1126.7443698536611</v>
      </c>
      <c r="AI155" s="15">
        <v>123.00035822944253</v>
      </c>
      <c r="AJ155" s="15">
        <v>0</v>
      </c>
      <c r="AK155" s="15">
        <v>0</v>
      </c>
      <c r="AL155" s="15">
        <v>0</v>
      </c>
      <c r="AM155" s="15">
        <v>0</v>
      </c>
      <c r="AN155" s="15">
        <v>2.0580432913306828</v>
      </c>
      <c r="AO155" s="15">
        <v>-61.745729314449108</v>
      </c>
      <c r="AP155" s="15">
        <v>1126.7443698536611</v>
      </c>
      <c r="AQ155" s="15">
        <v>0</v>
      </c>
      <c r="AR155" s="15">
        <v>0</v>
      </c>
      <c r="AS155" s="15">
        <v>0</v>
      </c>
      <c r="AT155" s="15">
        <v>1126.7443698536611</v>
      </c>
      <c r="AU155" s="15">
        <v>310.50740100729195</v>
      </c>
      <c r="AV155" s="15">
        <v>217.47678540000001</v>
      </c>
      <c r="AW155" s="15">
        <v>217.47678540000001</v>
      </c>
      <c r="AX155" s="15">
        <v>0</v>
      </c>
      <c r="AY155" s="15">
        <v>0</v>
      </c>
      <c r="AZ155" s="15">
        <v>82.718698010625417</v>
      </c>
      <c r="BA155" s="15">
        <v>82.718698010625417</v>
      </c>
      <c r="BB155" s="15">
        <v>0</v>
      </c>
      <c r="BC155" s="15">
        <v>0</v>
      </c>
      <c r="BD155" s="15">
        <v>0</v>
      </c>
      <c r="BE155" s="15">
        <v>10.311917596666476</v>
      </c>
      <c r="BF155" s="15">
        <v>3.0627314457496713</v>
      </c>
      <c r="BG155" s="15">
        <v>1.5831329762799125</v>
      </c>
      <c r="BH155" s="15">
        <v>5.6660531746368914</v>
      </c>
      <c r="BI155" s="15">
        <v>0</v>
      </c>
      <c r="BJ155" s="15">
        <v>1437.251770860953</v>
      </c>
      <c r="BK155" s="15">
        <v>2686.9964989440568</v>
      </c>
      <c r="BL155" s="15">
        <v>3.7542219168712445</v>
      </c>
      <c r="BM155" s="15">
        <v>-36.921541384108636</v>
      </c>
    </row>
    <row r="156" spans="1:65" s="60" customFormat="1" x14ac:dyDescent="0.35">
      <c r="A156" s="15" t="s">
        <v>10621</v>
      </c>
      <c r="B156" s="15" t="s">
        <v>10320</v>
      </c>
      <c r="C156" s="15" t="s">
        <v>10576</v>
      </c>
      <c r="D156" s="15" t="s">
        <v>10327</v>
      </c>
      <c r="E156" s="15" t="s">
        <v>10759</v>
      </c>
      <c r="F156" s="15">
        <v>16485</v>
      </c>
      <c r="G156" s="15">
        <v>0.89710646041856212</v>
      </c>
      <c r="H156" s="15">
        <v>200</v>
      </c>
      <c r="I156" s="80">
        <v>4927.0843906126065</v>
      </c>
      <c r="J156" s="81">
        <v>-0.91512322738238783</v>
      </c>
      <c r="K156" s="15">
        <v>30</v>
      </c>
      <c r="L156" s="15">
        <v>31.736988945742294</v>
      </c>
      <c r="M156" s="15">
        <v>18.873143464926276</v>
      </c>
      <c r="N156" s="15">
        <v>5.7824415442414487</v>
      </c>
      <c r="O156" s="15">
        <v>4.2258068565805171</v>
      </c>
      <c r="P156" s="15">
        <v>1.0642583662176384</v>
      </c>
      <c r="Q156" s="15">
        <v>0.49237632144329241</v>
      </c>
      <c r="R156" s="15">
        <v>0.49237632144329241</v>
      </c>
      <c r="S156" s="15">
        <v>0</v>
      </c>
      <c r="T156" s="15">
        <v>0</v>
      </c>
      <c r="U156" s="15">
        <v>3666.4664294056538</v>
      </c>
      <c r="V156" s="15">
        <v>0</v>
      </c>
      <c r="W156" s="15">
        <v>0</v>
      </c>
      <c r="X156" s="15">
        <v>0</v>
      </c>
      <c r="Y156" s="15">
        <v>2008.9526418664555</v>
      </c>
      <c r="Z156" s="15">
        <v>0</v>
      </c>
      <c r="AA156" s="15">
        <v>414.21800000000002</v>
      </c>
      <c r="AB156" s="15">
        <v>166.53200000000001</v>
      </c>
      <c r="AC156" s="15">
        <v>1428.2026418664555</v>
      </c>
      <c r="AD156" s="15">
        <v>-2918.1317487461511</v>
      </c>
      <c r="AE156" s="15">
        <v>-63.472763910272505</v>
      </c>
      <c r="AF156" s="15">
        <v>0</v>
      </c>
      <c r="AG156" s="15">
        <v>0</v>
      </c>
      <c r="AH156" s="15">
        <v>-2977.6593430653206</v>
      </c>
      <c r="AI156" s="15">
        <v>123.00035822944253</v>
      </c>
      <c r="AJ156" s="15">
        <v>0</v>
      </c>
      <c r="AK156" s="15">
        <v>0</v>
      </c>
      <c r="AL156" s="15">
        <v>0</v>
      </c>
      <c r="AM156" s="15">
        <v>0</v>
      </c>
      <c r="AN156" s="15">
        <v>-2.0432196827003293</v>
      </c>
      <c r="AO156" s="15">
        <v>4927.0843906126065</v>
      </c>
      <c r="AP156" s="15">
        <v>-3041.1321069755932</v>
      </c>
      <c r="AQ156" s="15">
        <v>-63.472763910272505</v>
      </c>
      <c r="AR156" s="15">
        <v>0</v>
      </c>
      <c r="AS156" s="15">
        <v>0</v>
      </c>
      <c r="AT156" s="15">
        <v>-2977.6593430653206</v>
      </c>
      <c r="AU156" s="15">
        <v>2678.5771284654056</v>
      </c>
      <c r="AV156" s="15">
        <v>217.47678540000001</v>
      </c>
      <c r="AW156" s="15">
        <v>217.47678540000001</v>
      </c>
      <c r="AX156" s="15">
        <v>0</v>
      </c>
      <c r="AY156" s="15">
        <v>0</v>
      </c>
      <c r="AZ156" s="15">
        <v>1739.8801333791339</v>
      </c>
      <c r="BA156" s="15">
        <v>82.718698010625417</v>
      </c>
      <c r="BB156" s="15">
        <v>690.48393140354517</v>
      </c>
      <c r="BC156" s="15">
        <v>966.67750396496319</v>
      </c>
      <c r="BD156" s="15">
        <v>0</v>
      </c>
      <c r="BE156" s="15">
        <v>721.2202096862718</v>
      </c>
      <c r="BF156" s="15">
        <v>252.50423744210244</v>
      </c>
      <c r="BG156" s="15">
        <v>1.5831329762799125</v>
      </c>
      <c r="BH156" s="15">
        <v>467.13283926788949</v>
      </c>
      <c r="BI156" s="15">
        <v>0</v>
      </c>
      <c r="BJ156" s="15">
        <v>-362.55497851018754</v>
      </c>
      <c r="BK156" s="59">
        <v>-3280.6867272563386</v>
      </c>
      <c r="BL156" s="59">
        <v>-3.1570375498187877</v>
      </c>
      <c r="BM156" s="59">
        <v>-0.91512322738238783</v>
      </c>
    </row>
    <row r="157" spans="1:65" s="60" customFormat="1" x14ac:dyDescent="0.35">
      <c r="A157" s="59" t="s">
        <v>10621</v>
      </c>
      <c r="B157" s="59" t="s">
        <v>10320</v>
      </c>
      <c r="C157" s="59" t="s">
        <v>10726</v>
      </c>
      <c r="D157" s="59" t="s">
        <v>10326</v>
      </c>
      <c r="E157" s="59" t="s">
        <v>10760</v>
      </c>
      <c r="F157" s="59">
        <v>16485</v>
      </c>
      <c r="G157" s="59">
        <v>0.89710646041856212</v>
      </c>
      <c r="H157" s="59">
        <v>200</v>
      </c>
      <c r="I157" s="59">
        <v>-61.745729314449108</v>
      </c>
      <c r="J157" s="88">
        <v>-36.921541384108636</v>
      </c>
      <c r="K157" s="59">
        <v>30</v>
      </c>
      <c r="L157" s="59">
        <v>10</v>
      </c>
      <c r="M157" s="59">
        <v>5.2647957315519145</v>
      </c>
      <c r="N157" s="59">
        <v>5.7824415442414487</v>
      </c>
      <c r="O157" s="59">
        <v>4.2258068565805171</v>
      </c>
      <c r="P157" s="59">
        <v>1.0642583662176384</v>
      </c>
      <c r="Q157" s="59">
        <v>0.49237632144329241</v>
      </c>
      <c r="R157" s="59">
        <v>0.49237632144329241</v>
      </c>
      <c r="S157" s="59">
        <v>0</v>
      </c>
      <c r="T157" s="59">
        <v>0</v>
      </c>
      <c r="U157" s="59">
        <v>3666.4664294056538</v>
      </c>
      <c r="V157" s="59">
        <v>0</v>
      </c>
      <c r="W157" s="59">
        <v>0</v>
      </c>
      <c r="X157" s="59">
        <v>0</v>
      </c>
      <c r="Y157" s="59">
        <v>1187.9989987686545</v>
      </c>
      <c r="Z157" s="59">
        <v>0</v>
      </c>
      <c r="AA157" s="59">
        <v>414.21800000000002</v>
      </c>
      <c r="AB157" s="59">
        <v>166.53200000000001</v>
      </c>
      <c r="AC157" s="59">
        <v>607.24899876865459</v>
      </c>
      <c r="AD157" s="59">
        <v>1249.7447280831036</v>
      </c>
      <c r="AE157" s="59">
        <v>0</v>
      </c>
      <c r="AF157" s="59">
        <v>0</v>
      </c>
      <c r="AG157" s="59">
        <v>0</v>
      </c>
      <c r="AH157" s="59">
        <v>1126.7443698536611</v>
      </c>
      <c r="AI157" s="59">
        <v>123.00035822944253</v>
      </c>
      <c r="AJ157" s="59">
        <v>0</v>
      </c>
      <c r="AK157" s="59">
        <v>0</v>
      </c>
      <c r="AL157" s="59">
        <v>0</v>
      </c>
      <c r="AM157" s="59">
        <v>0</v>
      </c>
      <c r="AN157" s="59">
        <v>2.0580432913306828</v>
      </c>
      <c r="AO157" s="59">
        <v>-61.745729314449108</v>
      </c>
      <c r="AP157" s="59">
        <v>1126.7443698536611</v>
      </c>
      <c r="AQ157" s="59">
        <v>0</v>
      </c>
      <c r="AR157" s="59">
        <v>0</v>
      </c>
      <c r="AS157" s="59">
        <v>0</v>
      </c>
      <c r="AT157" s="59">
        <v>1126.7443698536611</v>
      </c>
      <c r="AU157" s="59">
        <v>310.50740100729195</v>
      </c>
      <c r="AV157" s="59">
        <v>217.47678540000001</v>
      </c>
      <c r="AW157" s="59">
        <v>217.47678540000001</v>
      </c>
      <c r="AX157" s="59">
        <v>0</v>
      </c>
      <c r="AY157" s="59">
        <v>0</v>
      </c>
      <c r="AZ157" s="59">
        <v>82.718698010625417</v>
      </c>
      <c r="BA157" s="59">
        <v>82.718698010625417</v>
      </c>
      <c r="BB157" s="59">
        <v>0</v>
      </c>
      <c r="BC157" s="59">
        <v>0</v>
      </c>
      <c r="BD157" s="59">
        <v>0</v>
      </c>
      <c r="BE157" s="59">
        <v>10.311917596666476</v>
      </c>
      <c r="BF157" s="59">
        <v>3.0627314457496713</v>
      </c>
      <c r="BG157" s="59">
        <v>1.5831329762799125</v>
      </c>
      <c r="BH157" s="59">
        <v>5.6660531746368914</v>
      </c>
      <c r="BI157" s="59">
        <v>0</v>
      </c>
      <c r="BJ157" s="59">
        <v>1437.251770860953</v>
      </c>
      <c r="BK157" s="59">
        <v>2686.9964989440568</v>
      </c>
      <c r="BL157" s="59">
        <v>3.7542219168712445</v>
      </c>
      <c r="BM157" s="59">
        <v>-36.921541384108636</v>
      </c>
    </row>
    <row r="158" spans="1:65" s="56" customFormat="1" x14ac:dyDescent="0.35">
      <c r="A158" s="55" t="s">
        <v>10621</v>
      </c>
      <c r="B158" s="55" t="s">
        <v>10728</v>
      </c>
      <c r="C158" s="55" t="s">
        <v>9780</v>
      </c>
      <c r="D158" s="55" t="s">
        <v>9780</v>
      </c>
      <c r="E158" s="55" t="s">
        <v>10016</v>
      </c>
      <c r="F158" s="55">
        <f>F149</f>
        <v>56893</v>
      </c>
      <c r="G158" s="55">
        <f>G149</f>
        <v>0.8971338410074764</v>
      </c>
      <c r="H158" s="55">
        <f>(H149*N149+H157*N157)/(N149+N157)</f>
        <v>200.00000000000003</v>
      </c>
      <c r="I158" s="55">
        <f>(I149*N149+I157*N157)/(N149+N157)</f>
        <v>886.92769872390511</v>
      </c>
      <c r="J158" s="89">
        <f>(J149*N149+J157*N157)/(N149+N157)</f>
        <v>-7.2870269582598963</v>
      </c>
      <c r="K158" s="55">
        <f>K149</f>
        <v>30</v>
      </c>
      <c r="L158" s="55">
        <f t="shared" ref="L158:W158" si="11">L149+L157</f>
        <v>64.159032132771074</v>
      </c>
      <c r="M158" s="55">
        <f t="shared" si="11"/>
        <v>19.710027483765991</v>
      </c>
      <c r="N158" s="55">
        <f t="shared" si="11"/>
        <v>25.739401664939734</v>
      </c>
      <c r="O158" s="55">
        <f t="shared" si="11"/>
        <v>18.810348398299453</v>
      </c>
      <c r="P158" s="55">
        <f t="shared" si="11"/>
        <v>4.7373368764321588</v>
      </c>
      <c r="Q158" s="55">
        <f t="shared" si="11"/>
        <v>2.191716390208128</v>
      </c>
      <c r="R158" s="55">
        <f t="shared" si="11"/>
        <v>2.191716390208128</v>
      </c>
      <c r="S158" s="55">
        <f t="shared" si="11"/>
        <v>0</v>
      </c>
      <c r="T158" s="55">
        <f t="shared" si="11"/>
        <v>0</v>
      </c>
      <c r="U158" s="55">
        <f t="shared" si="11"/>
        <v>16320.554457048042</v>
      </c>
      <c r="V158" s="55">
        <f t="shared" si="11"/>
        <v>0</v>
      </c>
      <c r="W158" s="55">
        <f t="shared" si="11"/>
        <v>0</v>
      </c>
      <c r="X158" s="55">
        <f>(X149*N149+X157*N157)/(N149+N157)</f>
        <v>0</v>
      </c>
      <c r="Y158" s="55">
        <f>(Y149*N149+Y157*N157)/(N149+N157)</f>
        <v>1579.3419151649869</v>
      </c>
      <c r="Z158" s="55">
        <f>(Z149*N149+Z157*N157)/(N149+N157)</f>
        <v>0</v>
      </c>
      <c r="AA158" s="55">
        <f>(AA149*N149+AA157*N157)/(N149+N157)</f>
        <v>526.40523994961814</v>
      </c>
      <c r="AB158" s="55">
        <f>(AB149*N149+AB157*N157)/(N149+N157)</f>
        <v>439.75797403002122</v>
      </c>
      <c r="AC158" s="55">
        <f>(AC149*N149+AC157*N157)/(N149+N157)</f>
        <v>613.17870118534734</v>
      </c>
      <c r="AD158" s="55">
        <f>(AD149*N149+AD157*N157)/(N149+N157)</f>
        <v>692.41421644108175</v>
      </c>
      <c r="AE158" s="55">
        <f>(AE149*N149+AE157*N157)/(N149+N157)</f>
        <v>5.9297024166926819</v>
      </c>
      <c r="AF158" s="55">
        <f>(AF149*N149+AF157*N157)/(N149+N157)</f>
        <v>0</v>
      </c>
      <c r="AG158" s="55">
        <f>(AG149*N149+AG157*N157)/(N149+N157)</f>
        <v>0</v>
      </c>
      <c r="AH158" s="55">
        <f>(AH149*N149+AH157*N157)/(N149+N157)</f>
        <v>563.4841557949461</v>
      </c>
      <c r="AI158" s="55">
        <f>(AI149*N149+AI157*N157)/(N149+N157)</f>
        <v>123.00035822944251</v>
      </c>
      <c r="AJ158" s="55">
        <f>(AJ149*N149+AJ157*N157)/(N149+N157)</f>
        <v>0</v>
      </c>
      <c r="AK158" s="55">
        <f>(AK149*N149+AK157*N157)/(N149+N157)</f>
        <v>0</v>
      </c>
      <c r="AL158" s="55">
        <f>(AL149*N149+AL157*N157)/(N149+N157)</f>
        <v>0</v>
      </c>
      <c r="AM158" s="55">
        <f>(AM149*N149+AM157*N157)/(N149+N157)</f>
        <v>0</v>
      </c>
      <c r="AN158" s="55">
        <f>(AN149*N149+AN157*N157)/(N149+N157)</f>
        <v>1.1318161748839681</v>
      </c>
      <c r="AO158" s="55">
        <f>(AO149*N149+AO157*N157)/(N149+N157)</f>
        <v>886.92769872390511</v>
      </c>
      <c r="AP158" s="55">
        <f>(AP149*N149+AP157*N157)/(N149+N157)</f>
        <v>569.41385821163885</v>
      </c>
      <c r="AQ158" s="55">
        <f>(AQ149*N149+AQ157*N157)/(N149+N157)</f>
        <v>5.9297024166926819</v>
      </c>
      <c r="AR158" s="55">
        <f>(AR149*N149+AR157*N157)/(N149+N157)</f>
        <v>0</v>
      </c>
      <c r="AS158" s="55">
        <f>(AS149*N149+AS157*N157)/(N149+N157)</f>
        <v>0</v>
      </c>
      <c r="AT158" s="55">
        <f>(AT149*N149+AT157*N157)/(N149+N157)</f>
        <v>563.4841557949461</v>
      </c>
      <c r="AU158" s="55">
        <f>(AU149*N149+AU157*N157)/(N149+N157)</f>
        <v>834.04088545427066</v>
      </c>
      <c r="AV158" s="55">
        <f>(AV149*N149+AV157*N157)/(N149+N157)</f>
        <v>440.41551890979588</v>
      </c>
      <c r="AW158" s="55">
        <f>(AW149*N149+AW157*N157)/(N149+N157)</f>
        <v>440.41551890979588</v>
      </c>
      <c r="AX158" s="55">
        <f>(AX149*N149+AX157*N157)/(N149+N157)</f>
        <v>0</v>
      </c>
      <c r="AY158" s="55">
        <f>(AY149*N149+AY157*N157)/(N149+N157)</f>
        <v>0</v>
      </c>
      <c r="AZ158" s="55">
        <f>(AZ149*N149+AZ157*N157)/(N149+N157)</f>
        <v>248.1274854523428</v>
      </c>
      <c r="BA158" s="55">
        <f>(BA149*N149+BA157*N157)/(N149+N157)</f>
        <v>82.718698010625431</v>
      </c>
      <c r="BB158" s="55">
        <f>(BB149*N149+BB157*N157)/(N149+N157)</f>
        <v>68.920328100715594</v>
      </c>
      <c r="BC158" s="55">
        <f>(BC149*N149+BC157*N157)/(N149+N157)</f>
        <v>96.4884593410018</v>
      </c>
      <c r="BD158" s="55">
        <f>(BD149*N149+BD157*N157)/(N149+N157)</f>
        <v>0</v>
      </c>
      <c r="BE158" s="55">
        <f>(BE149*N149+BE157*N157)/(N149+N157)</f>
        <v>145.49788109213196</v>
      </c>
      <c r="BF158" s="55">
        <f>(BF149*N149+BF157*N157)/(N149+N157)</f>
        <v>50.49640284766739</v>
      </c>
      <c r="BG158" s="55">
        <f>(BG149*N149+BG157*N157)/(N149+N157)</f>
        <v>1.5831329762799122</v>
      </c>
      <c r="BH158" s="55">
        <f>(BH149*N149+BH157*N157)/(N149+N157)</f>
        <v>93.41834526818468</v>
      </c>
      <c r="BI158" s="55">
        <f>(BI149*N149+BI157*N157)/(N149+N157)</f>
        <v>0</v>
      </c>
      <c r="BJ158" s="55">
        <f>(BJ149*N149+BJ157*N157)/(N149+N157)</f>
        <v>1403.4547436659095</v>
      </c>
      <c r="BK158" s="55">
        <f>(BK149*N149+BK157*N157)/(N149+N157)</f>
        <v>2095.8689601069914</v>
      </c>
      <c r="BL158" s="55">
        <f>(BL149*N149+BL157*N157)/(N149+N157)</f>
        <v>2.7470307043564297</v>
      </c>
      <c r="BM158" s="55">
        <f>(BM149*N149+BM157*N157)/(N149+N157)</f>
        <v>-7.2870269582598963</v>
      </c>
    </row>
    <row r="164" spans="1:65" s="60" customFormat="1" x14ac:dyDescent="0.35">
      <c r="A164" s="15"/>
      <c r="B164" s="15"/>
      <c r="C164" s="15"/>
      <c r="D164" s="15"/>
      <c r="E164" s="15"/>
      <c r="F164" s="15"/>
      <c r="G164" s="15"/>
      <c r="H164" s="15"/>
      <c r="I164" s="15"/>
      <c r="J164" s="23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59"/>
      <c r="BL164" s="59"/>
      <c r="BM164" s="59"/>
    </row>
    <row r="165" spans="1:65" s="56" customFormat="1" x14ac:dyDescent="0.35">
      <c r="A165" s="15"/>
      <c r="B165" s="15"/>
      <c r="C165" s="15"/>
      <c r="D165" s="15"/>
      <c r="E165" s="15"/>
      <c r="F165" s="15"/>
      <c r="G165" s="15"/>
      <c r="H165" s="15"/>
      <c r="I165" s="15"/>
      <c r="J165" s="23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55"/>
      <c r="BL165" s="55"/>
      <c r="BM165" s="55"/>
    </row>
    <row r="173" spans="1:65" s="60" customFormat="1" x14ac:dyDescent="0.35">
      <c r="A173" s="15"/>
      <c r="B173" s="15"/>
      <c r="C173" s="15"/>
      <c r="D173" s="15"/>
      <c r="E173" s="15"/>
      <c r="F173" s="15"/>
      <c r="G173" s="15"/>
      <c r="H173" s="15"/>
      <c r="I173" s="15"/>
      <c r="J173" s="23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59"/>
      <c r="BL173" s="59"/>
      <c r="BM173" s="59"/>
    </row>
    <row r="181" spans="1:65" s="60" customFormat="1" x14ac:dyDescent="0.35">
      <c r="A181" s="15"/>
      <c r="B181" s="15"/>
      <c r="C181" s="15"/>
      <c r="D181" s="15"/>
      <c r="E181" s="15"/>
      <c r="F181" s="15"/>
      <c r="G181" s="15"/>
      <c r="H181" s="15"/>
      <c r="I181" s="15"/>
      <c r="J181" s="23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59"/>
      <c r="BL181" s="59"/>
      <c r="BM181" s="59"/>
    </row>
    <row r="182" spans="1:65" s="56" customFormat="1" x14ac:dyDescent="0.35">
      <c r="A182" s="15"/>
      <c r="B182" s="15"/>
      <c r="C182" s="15"/>
      <c r="D182" s="15"/>
      <c r="E182" s="15"/>
      <c r="F182" s="15"/>
      <c r="G182" s="15"/>
      <c r="H182" s="15"/>
      <c r="I182" s="15"/>
      <c r="J182" s="23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55"/>
      <c r="BL182" s="55"/>
      <c r="BM182" s="5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60" zoomScaleNormal="60" workbookViewId="0"/>
  </sheetViews>
  <sheetFormatPr defaultColWidth="25.7109375" defaultRowHeight="15" x14ac:dyDescent="0.25"/>
  <cols>
    <col min="3" max="3" width="53.140625" bestFit="1" customWidth="1"/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36" t="s">
        <v>9876</v>
      </c>
      <c r="B1" s="36" t="s">
        <v>10363</v>
      </c>
      <c r="C1" s="36" t="s">
        <v>10364</v>
      </c>
      <c r="D1" s="36" t="s">
        <v>10365</v>
      </c>
      <c r="E1" s="37" t="s">
        <v>10366</v>
      </c>
      <c r="F1" s="37" t="s">
        <v>10367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10370</v>
      </c>
      <c r="J1" s="37" t="s">
        <v>10371</v>
      </c>
      <c r="K1" s="37" t="s">
        <v>10372</v>
      </c>
      <c r="L1" s="37" t="s">
        <v>10373</v>
      </c>
      <c r="M1" s="37" t="s">
        <v>10374</v>
      </c>
      <c r="N1" s="37" t="s">
        <v>10375</v>
      </c>
      <c r="O1" s="37" t="s">
        <v>10376</v>
      </c>
      <c r="P1" s="37" t="s">
        <v>10377</v>
      </c>
      <c r="Q1" s="37" t="s">
        <v>10378</v>
      </c>
      <c r="R1" s="37" t="s">
        <v>10379</v>
      </c>
      <c r="S1" s="37" t="s">
        <v>10380</v>
      </c>
      <c r="T1" s="37" t="s">
        <v>10381</v>
      </c>
      <c r="U1" s="37" t="s">
        <v>10382</v>
      </c>
      <c r="V1" s="37" t="s">
        <v>10383</v>
      </c>
      <c r="W1" s="37" t="s">
        <v>10384</v>
      </c>
      <c r="X1" s="37" t="s">
        <v>10385</v>
      </c>
      <c r="Y1" s="37" t="s">
        <v>10386</v>
      </c>
      <c r="Z1" s="37" t="s">
        <v>10387</v>
      </c>
      <c r="AA1" s="37" t="s">
        <v>10388</v>
      </c>
      <c r="AB1" s="37" t="s">
        <v>10389</v>
      </c>
      <c r="AC1" s="37" t="s">
        <v>10390</v>
      </c>
      <c r="AD1" s="37" t="s">
        <v>10391</v>
      </c>
      <c r="AE1" s="37" t="s">
        <v>10392</v>
      </c>
      <c r="AF1" s="37" t="s">
        <v>10393</v>
      </c>
      <c r="AG1" s="37" t="s">
        <v>10394</v>
      </c>
      <c r="AH1" s="37" t="s">
        <v>10395</v>
      </c>
      <c r="AI1" s="37" t="s">
        <v>10396</v>
      </c>
      <c r="AJ1" s="37" t="s">
        <v>10397</v>
      </c>
      <c r="AK1" s="37" t="s">
        <v>10398</v>
      </c>
      <c r="AL1" s="36" t="s">
        <v>9917</v>
      </c>
      <c r="AM1" s="37" t="s">
        <v>10368</v>
      </c>
      <c r="AN1" s="37" t="s">
        <v>10399</v>
      </c>
      <c r="AO1" s="37" t="s">
        <v>10400</v>
      </c>
      <c r="AP1" s="37" t="s">
        <v>10401</v>
      </c>
      <c r="AQ1" s="37" t="s">
        <v>10402</v>
      </c>
      <c r="AR1" s="37" t="s">
        <v>10403</v>
      </c>
      <c r="AS1" s="37" t="s">
        <v>10404</v>
      </c>
      <c r="AT1" s="37" t="s">
        <v>10405</v>
      </c>
      <c r="AU1" s="37" t="s">
        <v>10406</v>
      </c>
      <c r="AV1" s="37" t="s">
        <v>10407</v>
      </c>
      <c r="AW1" s="36" t="s">
        <v>9928</v>
      </c>
      <c r="AX1" s="37" t="s">
        <v>10408</v>
      </c>
      <c r="AY1" s="37" t="s">
        <v>10409</v>
      </c>
      <c r="AZ1" s="37" t="s">
        <v>10410</v>
      </c>
      <c r="BA1" s="37" t="s">
        <v>10411</v>
      </c>
      <c r="BB1" s="36" t="s">
        <v>9933</v>
      </c>
      <c r="BC1" s="37" t="s">
        <v>10412</v>
      </c>
      <c r="BD1" s="37" t="s">
        <v>10413</v>
      </c>
      <c r="BE1" s="37" t="s">
        <v>10414</v>
      </c>
      <c r="BF1" s="37" t="s">
        <v>10415</v>
      </c>
      <c r="BG1" s="36" t="s">
        <v>9938</v>
      </c>
      <c r="BH1" s="37" t="s">
        <v>10416</v>
      </c>
      <c r="BI1" s="37" t="s">
        <v>10417</v>
      </c>
      <c r="BJ1" s="37" t="s">
        <v>10418</v>
      </c>
      <c r="BK1" s="37" t="s">
        <v>10369</v>
      </c>
    </row>
    <row r="2" spans="1:63" ht="33" customHeight="1" x14ac:dyDescent="0.25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9.5" thickBot="1" x14ac:dyDescent="0.3">
      <c r="A3" s="36"/>
      <c r="B3" s="36"/>
      <c r="C3" s="36"/>
      <c r="D3" s="36" t="s">
        <v>10335</v>
      </c>
      <c r="E3" s="36" t="s">
        <v>10419</v>
      </c>
      <c r="F3" s="36" t="s">
        <v>9948</v>
      </c>
      <c r="G3" s="36" t="s">
        <v>9948</v>
      </c>
      <c r="H3" s="36" t="s">
        <v>9634</v>
      </c>
      <c r="I3" s="36" t="s">
        <v>10336</v>
      </c>
      <c r="J3" s="36" t="s">
        <v>9796</v>
      </c>
      <c r="K3" s="36" t="s">
        <v>9796</v>
      </c>
      <c r="L3" s="36" t="s">
        <v>10337</v>
      </c>
      <c r="M3" s="36" t="s">
        <v>10337</v>
      </c>
      <c r="N3" s="36" t="s">
        <v>10337</v>
      </c>
      <c r="O3" s="36" t="s">
        <v>10337</v>
      </c>
      <c r="P3" s="36" t="s">
        <v>10337</v>
      </c>
      <c r="Q3" s="36" t="s">
        <v>10337</v>
      </c>
      <c r="R3" s="36" t="s">
        <v>10337</v>
      </c>
      <c r="S3" s="36" t="s">
        <v>10338</v>
      </c>
      <c r="T3" s="36" t="s">
        <v>10338</v>
      </c>
      <c r="U3" s="36" t="s">
        <v>10339</v>
      </c>
      <c r="V3" s="36" t="s">
        <v>10420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5" x14ac:dyDescent="0.25">
      <c r="A4" s="24" t="s">
        <v>10010</v>
      </c>
      <c r="B4" s="32">
        <f>'Banco de Dados'!$I$29</f>
        <v>300</v>
      </c>
      <c r="C4" s="25">
        <f>'Banco de Dados'!$I$30/100</f>
        <v>0.42499999999999999</v>
      </c>
      <c r="D4" s="29">
        <f>IFERROR(VLOOKUP($A4,'Arranjos Consolidados'!$E$3:$BM$303,D$2,FALSE),"")</f>
        <v>73378</v>
      </c>
      <c r="E4" s="33">
        <f>IFERROR(VLOOKUP($A4,'Arranjos Consolidados'!$E$3:$BM$303,E$2,FALSE),"")</f>
        <v>0.89712768972223778</v>
      </c>
      <c r="F4" s="29">
        <f>IFERROR(VLOOKUP($A4,'Arranjos Consolidados'!$E$3:$BM$303,F$2,FALSE),"")</f>
        <v>200</v>
      </c>
      <c r="G4" s="31">
        <f>IFERROR(VLOOKUP($A4,'Arranjos Consolidados'!$E$3:$BM$303,G$2,FALSE),"")</f>
        <v>793.33319309225919</v>
      </c>
      <c r="H4" s="34">
        <f>IFERROR(VLOOKUP($A4,'Arranjos Consolidados'!$E$3:$BM$303,H$2,FALSE),"")</f>
        <v>1.2484894400348823</v>
      </c>
      <c r="I4" s="29">
        <f>IFERROR(VLOOKUP($A4,'Arranjos Consolidados'!$E$3:$BM$303,I$2,FALSE),"")</f>
        <v>30</v>
      </c>
      <c r="J4" s="31">
        <f>IFERROR(VLOOKUP($A4,'Arranjos Consolidados'!$E$3:$BM$303,J$2,FALSE),"")</f>
        <v>85.345489880193526</v>
      </c>
      <c r="K4" s="31">
        <f>IFERROR(VLOOKUP($A4,'Arranjos Consolidados'!$E$3:$BM$303,K$2,FALSE),"")</f>
        <v>16.028041553657353</v>
      </c>
      <c r="L4" s="31">
        <f>IFERROR(VLOOKUP($A4,'Arranjos Consolidados'!$E$3:$BM$303,L$2,FALSE),"")</f>
        <v>25.739401664939734</v>
      </c>
      <c r="M4" s="31">
        <f>IFERROR(VLOOKUP($A4,'Arranjos Consolidados'!$E$3:$BM$303,M$2,FALSE),"")</f>
        <v>18.81034839829945</v>
      </c>
      <c r="N4" s="31">
        <f>IFERROR(VLOOKUP($A4,'Arranjos Consolidados'!$E$3:$BM$303,N$2,FALSE),"")</f>
        <v>4.7373368764321588</v>
      </c>
      <c r="O4" s="31">
        <f>IFERROR(VLOOKUP($A4,'Arranjos Consolidados'!$E$3:$BM$303,O$2,FALSE),"")</f>
        <v>2.1917163902081285</v>
      </c>
      <c r="P4" s="31">
        <f>IFERROR(VLOOKUP($A4,'Arranjos Consolidados'!$E$3:$BM$303,P$2,FALSE),"")</f>
        <v>2.1917163902081285</v>
      </c>
      <c r="Q4" s="31">
        <f>IFERROR(VLOOKUP($A4,'Arranjos Consolidados'!$E$3:$BM$303,Q$2,FALSE),"")</f>
        <v>0</v>
      </c>
      <c r="R4" s="31">
        <f>IFERROR(VLOOKUP($A4,'Arranjos Consolidados'!$E$3:$BM$303,R$2,FALSE),"")</f>
        <v>0</v>
      </c>
      <c r="S4" s="31">
        <f>IFERROR(VLOOKUP($A4,'Arranjos Consolidados'!$E$3:$BM$303,S$2,FALSE),"")</f>
        <v>16320.554457048042</v>
      </c>
      <c r="T4" s="31">
        <f>IFERROR(VLOOKUP($A4,'Arranjos Consolidados'!$E$3:$BM$303,T$2,FALSE),"")</f>
        <v>0</v>
      </c>
      <c r="U4" s="31">
        <f>IFERROR(VLOOKUP($A4,'Arranjos Consolidados'!$E$3:$BM$303,U$2,FALSE),"")</f>
        <v>0</v>
      </c>
      <c r="V4" s="31">
        <f>IFERROR(VLOOKUP($A4,'Arranjos Consolidados'!$E$3:$BM$303,V$2,FALSE),"")</f>
        <v>0</v>
      </c>
      <c r="W4" s="31">
        <f>IFERROR(VLOOKUP($A4,'Arranjos Consolidados'!$E$3:$BM$303,W$2,FALSE),"")</f>
        <v>1265.2928734984678</v>
      </c>
      <c r="X4" s="29">
        <f>IFERROR(VLOOKUP($A4,'Arranjos Consolidados'!$E$3:$BM$303,X$2,FALSE),"")</f>
        <v>0</v>
      </c>
      <c r="Y4" s="31">
        <f>IFERROR(VLOOKUP($A4,'Arranjos Consolidados'!$E$3:$BM$303,Y$2,FALSE),"")</f>
        <v>596.15300000000002</v>
      </c>
      <c r="Z4" s="29">
        <f>IFERROR(VLOOKUP($A4,'Arranjos Consolidados'!$E$3:$BM$303,Z$2,FALSE),"")</f>
        <v>53.439</v>
      </c>
      <c r="AA4" s="31">
        <f>IFERROR(VLOOKUP($A4,'Arranjos Consolidados'!$E$3:$BM$303,AA$2,FALSE),"")</f>
        <v>615.70087349846779</v>
      </c>
      <c r="AB4" s="31">
        <f>IFERROR(VLOOKUP($A4,'Arranjos Consolidados'!$E$3:$BM$303,AB$2,FALSE),"")</f>
        <v>471.95968040620858</v>
      </c>
      <c r="AC4" s="31">
        <f>IFERROR(VLOOKUP($A4,'Arranjos Consolidados'!$E$3:$BM$303,AC$2,FALSE),"")</f>
        <v>8.4518747298132286</v>
      </c>
      <c r="AD4" s="31">
        <f>IFERROR(VLOOKUP($A4,'Arranjos Consolidados'!$E$3:$BM$303,AD$2,FALSE),"")</f>
        <v>0</v>
      </c>
      <c r="AE4" s="31">
        <f>IFERROR(VLOOKUP($A4,'Arranjos Consolidados'!$E$3:$BM$303,AE$2,FALSE),"")</f>
        <v>0</v>
      </c>
      <c r="AF4" s="31">
        <f>IFERROR(VLOOKUP($A4,'Arranjos Consolidados'!$E$3:$BM$303,AF$2,FALSE),"")</f>
        <v>340.50744744695282</v>
      </c>
      <c r="AG4" s="31">
        <f>IFERROR(VLOOKUP($A4,'Arranjos Consolidados'!$E$3:$BM$303,AG$2,FALSE),"")</f>
        <v>123.00035822944253</v>
      </c>
      <c r="AH4" s="31">
        <f>IFERROR(VLOOKUP($A4,'Arranjos Consolidados'!$E$3:$BM$303,AH$2,FALSE),"")</f>
        <v>0</v>
      </c>
      <c r="AI4" s="31">
        <f>IFERROR(VLOOKUP($A4,'Arranjos Consolidados'!$E$3:$BM$303,AI$2,FALSE),"")</f>
        <v>0</v>
      </c>
      <c r="AJ4" s="31">
        <f>IFERROR(VLOOKUP($A4,'Arranjos Consolidados'!$E$3:$BM$303,AJ$2,FALSE),"")</f>
        <v>0</v>
      </c>
      <c r="AK4" s="31">
        <f>IFERROR(VLOOKUP($A4,'Arranjos Consolidados'!$E$3:$BM$303,AK$2,FALSE),"")</f>
        <v>0</v>
      </c>
      <c r="AL4" s="34">
        <f>IFERROR(VLOOKUP($A4,'Arranjos Consolidados'!$E$3:$BM$303,AL$2,FALSE),"")</f>
        <v>0.76654054057856247</v>
      </c>
      <c r="AM4" s="31">
        <f>IFERROR(VLOOKUP($A4,'Arranjos Consolidados'!$E$3:$BM$303,AM$2,FALSE),"")</f>
        <v>793.33319309225919</v>
      </c>
      <c r="AN4" s="31">
        <f>IFERROR(VLOOKUP($A4,'Arranjos Consolidados'!$E$3:$BM$303,AN$2,FALSE),"")</f>
        <v>348.95932217676608</v>
      </c>
      <c r="AO4" s="31">
        <f>IFERROR(VLOOKUP($A4,'Arranjos Consolidados'!$E$3:$BM$303,AO$2,FALSE),"")</f>
        <v>8.4518747298132286</v>
      </c>
      <c r="AP4" s="31">
        <f>IFERROR(VLOOKUP($A4,'Arranjos Consolidados'!$E$3:$BM$303,AP$2,FALSE),"")</f>
        <v>0</v>
      </c>
      <c r="AQ4" s="31">
        <f>IFERROR(VLOOKUP($A4,'Arranjos Consolidados'!$E$3:$BM$303,AQ$2,FALSE),"")</f>
        <v>0</v>
      </c>
      <c r="AR4" s="31">
        <f>IFERROR(VLOOKUP($A4,'Arranjos Consolidados'!$E$3:$BM$303,AR$2,FALSE),"")</f>
        <v>340.50744744695282</v>
      </c>
      <c r="AS4" s="31">
        <f>IFERROR(VLOOKUP($A4,'Arranjos Consolidados'!$E$3:$BM$303,AS$2,FALSE),"")</f>
        <v>585.24998492033285</v>
      </c>
      <c r="AT4" s="31">
        <f>IFERROR(VLOOKUP($A4,'Arranjos Consolidados'!$E$3:$BM$303,AT$2,FALSE),"")</f>
        <v>158.25416765936461</v>
      </c>
      <c r="AU4" s="31">
        <f>IFERROR(VLOOKUP($A4,'Arranjos Consolidados'!$E$3:$BM$303,AU$2,FALSE),"")</f>
        <v>158.25416765936461</v>
      </c>
      <c r="AV4" s="31">
        <f>IFERROR(VLOOKUP($A4,'Arranjos Consolidados'!$E$3:$BM$303,AV$2,FALSE),"")</f>
        <v>0</v>
      </c>
      <c r="AW4" s="31">
        <f>IFERROR(VLOOKUP($A4,'Arranjos Consolidados'!$E$3:$BM$303,AW$2,FALSE),"")</f>
        <v>0</v>
      </c>
      <c r="AX4" s="31">
        <f>IFERROR(VLOOKUP($A4,'Arranjos Consolidados'!$E$3:$BM$303,AX$2,FALSE),"")</f>
        <v>278.15488441013269</v>
      </c>
      <c r="AY4" s="31">
        <f>IFERROR(VLOOKUP($A4,'Arranjos Consolidados'!$E$3:$BM$303,AY$2,FALSE),"")</f>
        <v>82.718698010625403</v>
      </c>
      <c r="AZ4" s="31">
        <f>IFERROR(VLOOKUP($A4,'Arranjos Consolidados'!$E$3:$BM$303,AZ$2,FALSE),"")</f>
        <v>81.431744333128037</v>
      </c>
      <c r="BA4" s="31">
        <f>IFERROR(VLOOKUP($A4,'Arranjos Consolidados'!$E$3:$BM$303,BA$2,FALSE),"")</f>
        <v>114.00444206637926</v>
      </c>
      <c r="BB4" s="31">
        <f>IFERROR(VLOOKUP($A4,'Arranjos Consolidados'!$E$3:$BM$303,BB$2,FALSE),"")</f>
        <v>0</v>
      </c>
      <c r="BC4" s="31">
        <f>IFERROR(VLOOKUP($A4,'Arranjos Consolidados'!$E$3:$BM$303,BC$2,FALSE),"")</f>
        <v>148.84093285083557</v>
      </c>
      <c r="BD4" s="31">
        <f>IFERROR(VLOOKUP($A4,'Arranjos Consolidados'!$E$3:$BM$303,BD$2,FALSE),"")</f>
        <v>51.669403464756378</v>
      </c>
      <c r="BE4" s="31">
        <f>IFERROR(VLOOKUP($A4,'Arranjos Consolidados'!$E$3:$BM$303,BE$2,FALSE),"")</f>
        <v>1.583132976279912</v>
      </c>
      <c r="BF4" s="31">
        <f>IFERROR(VLOOKUP($A4,'Arranjos Consolidados'!$E$3:$BM$303,BF$2,FALSE),"")</f>
        <v>95.588396409799287</v>
      </c>
      <c r="BG4" s="31">
        <f>IFERROR(VLOOKUP($A4,'Arranjos Consolidados'!$E$3:$BM$303,BG$2,FALSE),"")</f>
        <v>0</v>
      </c>
      <c r="BH4" s="31">
        <f>IFERROR(VLOOKUP($A4,'Arranjos Consolidados'!$E$3:$BM$303,BH$2,FALSE),"")</f>
        <v>934.20930709709887</v>
      </c>
      <c r="BI4" s="31">
        <f>IFERROR(VLOOKUP($A4,'Arranjos Consolidados'!$E$3:$BM$303,BI$2,FALSE),"")</f>
        <v>1406.1689875033078</v>
      </c>
      <c r="BJ4" s="34">
        <f>IFERROR(VLOOKUP($A4,'Arranjos Consolidados'!$E$3:$BM$303,BJ$2,FALSE),"")</f>
        <v>1.6086839513104974</v>
      </c>
      <c r="BK4" s="34">
        <f>IFERROR(VLOOKUP($A4,'Arranjos Consolidados'!$E$3:$BM$303,BK$2,FALSE),"")</f>
        <v>1.2484894400348823</v>
      </c>
    </row>
    <row r="5" spans="1:63" ht="16.5" x14ac:dyDescent="0.25">
      <c r="A5" s="24" t="s">
        <v>10640</v>
      </c>
      <c r="B5" s="32">
        <f>'Banco de Dados'!$I$29</f>
        <v>300</v>
      </c>
      <c r="C5" s="25">
        <f>'Banco de Dados'!$I$30/100</f>
        <v>0.42499999999999999</v>
      </c>
      <c r="D5" s="29">
        <f>IFERROR(VLOOKUP($A5,'Arranjos Consolidados'!$E$3:$BM$303,D$2,FALSE),"")</f>
        <v>73378</v>
      </c>
      <c r="E5" s="33">
        <f>IFERROR(VLOOKUP($A5,'Arranjos Consolidados'!$E$3:$BM$303,E$2,FALSE),"")</f>
        <v>0.89712768972223778</v>
      </c>
      <c r="F5" s="29">
        <f>IFERROR(VLOOKUP($A5,'Arranjos Consolidados'!$E$3:$BM$303,F$2,FALSE),"")</f>
        <v>200</v>
      </c>
      <c r="G5" s="31">
        <f>IFERROR(VLOOKUP($A5,'Arranjos Consolidados'!$E$3:$BM$303,G$2,FALSE),"")</f>
        <v>793.33319309225919</v>
      </c>
      <c r="H5" s="34">
        <f>IFERROR(VLOOKUP($A5,'Arranjos Consolidados'!$E$3:$BM$303,H$2,FALSE),"")</f>
        <v>1.2484894400348823</v>
      </c>
      <c r="I5" s="29">
        <f>IFERROR(VLOOKUP($A5,'Arranjos Consolidados'!$E$3:$BM$303,I$2,FALSE),"")</f>
        <v>30</v>
      </c>
      <c r="J5" s="31">
        <f>IFERROR(VLOOKUP($A5,'Arranjos Consolidados'!$E$3:$BM$303,J$2,FALSE),"")</f>
        <v>85.345489880193526</v>
      </c>
      <c r="K5" s="31">
        <f>IFERROR(VLOOKUP($A5,'Arranjos Consolidados'!$E$3:$BM$303,K$2,FALSE),"")</f>
        <v>16.028041553657353</v>
      </c>
      <c r="L5" s="31">
        <f>IFERROR(VLOOKUP($A5,'Arranjos Consolidados'!$E$3:$BM$303,L$2,FALSE),"")</f>
        <v>25.739401664939734</v>
      </c>
      <c r="M5" s="31">
        <f>IFERROR(VLOOKUP($A5,'Arranjos Consolidados'!$E$3:$BM$303,M$2,FALSE),"")</f>
        <v>18.81034839829945</v>
      </c>
      <c r="N5" s="31">
        <f>IFERROR(VLOOKUP($A5,'Arranjos Consolidados'!$E$3:$BM$303,N$2,FALSE),"")</f>
        <v>4.7373368764321588</v>
      </c>
      <c r="O5" s="31">
        <f>IFERROR(VLOOKUP($A5,'Arranjos Consolidados'!$E$3:$BM$303,O$2,FALSE),"")</f>
        <v>2.1917163902081285</v>
      </c>
      <c r="P5" s="31">
        <f>IFERROR(VLOOKUP($A5,'Arranjos Consolidados'!$E$3:$BM$303,P$2,FALSE),"")</f>
        <v>2.1917163902081285</v>
      </c>
      <c r="Q5" s="31">
        <f>IFERROR(VLOOKUP($A5,'Arranjos Consolidados'!$E$3:$BM$303,Q$2,FALSE),"")</f>
        <v>0</v>
      </c>
      <c r="R5" s="31">
        <f>IFERROR(VLOOKUP($A5,'Arranjos Consolidados'!$E$3:$BM$303,R$2,FALSE),"")</f>
        <v>0</v>
      </c>
      <c r="S5" s="31">
        <f>IFERROR(VLOOKUP($A5,'Arranjos Consolidados'!$E$3:$BM$303,S$2,FALSE),"")</f>
        <v>16320.554457048042</v>
      </c>
      <c r="T5" s="31">
        <f>IFERROR(VLOOKUP($A5,'Arranjos Consolidados'!$E$3:$BM$303,T$2,FALSE),"")</f>
        <v>0</v>
      </c>
      <c r="U5" s="31">
        <f>IFERROR(VLOOKUP($A5,'Arranjos Consolidados'!$E$3:$BM$303,U$2,FALSE),"")</f>
        <v>0</v>
      </c>
      <c r="V5" s="31">
        <f>IFERROR(VLOOKUP($A5,'Arranjos Consolidados'!$E$3:$BM$303,V$2,FALSE),"")</f>
        <v>0</v>
      </c>
      <c r="W5" s="31">
        <f>IFERROR(VLOOKUP($A5,'Arranjos Consolidados'!$E$3:$BM$303,W$2,FALSE),"")</f>
        <v>1265.2928734984678</v>
      </c>
      <c r="X5" s="29">
        <f>IFERROR(VLOOKUP($A5,'Arranjos Consolidados'!$E$3:$BM$303,X$2,FALSE),"")</f>
        <v>0</v>
      </c>
      <c r="Y5" s="31">
        <f>IFERROR(VLOOKUP($A5,'Arranjos Consolidados'!$E$3:$BM$303,Y$2,FALSE),"")</f>
        <v>596.15300000000002</v>
      </c>
      <c r="Z5" s="29">
        <f>IFERROR(VLOOKUP($A5,'Arranjos Consolidados'!$E$3:$BM$303,Z$2,FALSE),"")</f>
        <v>53.439</v>
      </c>
      <c r="AA5" s="31">
        <f>IFERROR(VLOOKUP($A5,'Arranjos Consolidados'!$E$3:$BM$303,AA$2,FALSE),"")</f>
        <v>615.70087349846779</v>
      </c>
      <c r="AB5" s="31">
        <f>IFERROR(VLOOKUP($A5,'Arranjos Consolidados'!$E$3:$BM$303,AB$2,FALSE),"")</f>
        <v>471.95968040620858</v>
      </c>
      <c r="AC5" s="31">
        <f>IFERROR(VLOOKUP($A5,'Arranjos Consolidados'!$E$3:$BM$303,AC$2,FALSE),"")</f>
        <v>8.4518747298132286</v>
      </c>
      <c r="AD5" s="31">
        <f>IFERROR(VLOOKUP($A5,'Arranjos Consolidados'!$E$3:$BM$303,AD$2,FALSE),"")</f>
        <v>0</v>
      </c>
      <c r="AE5" s="31">
        <f>IFERROR(VLOOKUP($A5,'Arranjos Consolidados'!$E$3:$BM$303,AE$2,FALSE),"")</f>
        <v>0</v>
      </c>
      <c r="AF5" s="31">
        <f>IFERROR(VLOOKUP($A5,'Arranjos Consolidados'!$E$3:$BM$303,AF$2,FALSE),"")</f>
        <v>340.50744744695282</v>
      </c>
      <c r="AG5" s="31">
        <f>IFERROR(VLOOKUP($A5,'Arranjos Consolidados'!$E$3:$BM$303,AG$2,FALSE),"")</f>
        <v>123.00035822944253</v>
      </c>
      <c r="AH5" s="31">
        <f>IFERROR(VLOOKUP($A5,'Arranjos Consolidados'!$E$3:$BM$303,AH$2,FALSE),"")</f>
        <v>0</v>
      </c>
      <c r="AI5" s="31">
        <f>IFERROR(VLOOKUP($A5,'Arranjos Consolidados'!$E$3:$BM$303,AI$2,FALSE),"")</f>
        <v>0</v>
      </c>
      <c r="AJ5" s="31">
        <f>IFERROR(VLOOKUP($A5,'Arranjos Consolidados'!$E$3:$BM$303,AJ$2,FALSE),"")</f>
        <v>0</v>
      </c>
      <c r="AK5" s="31">
        <f>IFERROR(VLOOKUP($A5,'Arranjos Consolidados'!$E$3:$BM$303,AK$2,FALSE),"")</f>
        <v>0</v>
      </c>
      <c r="AL5" s="34">
        <f>IFERROR(VLOOKUP($A5,'Arranjos Consolidados'!$E$3:$BM$303,AL$2,FALSE),"")</f>
        <v>0.76654054057856247</v>
      </c>
      <c r="AM5" s="31">
        <f>IFERROR(VLOOKUP($A5,'Arranjos Consolidados'!$E$3:$BM$303,AM$2,FALSE),"")</f>
        <v>793.33319309225919</v>
      </c>
      <c r="AN5" s="31">
        <f>IFERROR(VLOOKUP($A5,'Arranjos Consolidados'!$E$3:$BM$303,AN$2,FALSE),"")</f>
        <v>348.95932217676608</v>
      </c>
      <c r="AO5" s="31">
        <f>IFERROR(VLOOKUP($A5,'Arranjos Consolidados'!$E$3:$BM$303,AO$2,FALSE),"")</f>
        <v>8.4518747298132286</v>
      </c>
      <c r="AP5" s="31">
        <f>IFERROR(VLOOKUP($A5,'Arranjos Consolidados'!$E$3:$BM$303,AP$2,FALSE),"")</f>
        <v>0</v>
      </c>
      <c r="AQ5" s="31">
        <f>IFERROR(VLOOKUP($A5,'Arranjos Consolidados'!$E$3:$BM$303,AQ$2,FALSE),"")</f>
        <v>0</v>
      </c>
      <c r="AR5" s="31">
        <f>IFERROR(VLOOKUP($A5,'Arranjos Consolidados'!$E$3:$BM$303,AR$2,FALSE),"")</f>
        <v>340.50744744695282</v>
      </c>
      <c r="AS5" s="31">
        <f>IFERROR(VLOOKUP($A5,'Arranjos Consolidados'!$E$3:$BM$303,AS$2,FALSE),"")</f>
        <v>585.24998492033285</v>
      </c>
      <c r="AT5" s="31">
        <f>IFERROR(VLOOKUP($A5,'Arranjos Consolidados'!$E$3:$BM$303,AT$2,FALSE),"")</f>
        <v>158.25416765936461</v>
      </c>
      <c r="AU5" s="31">
        <f>IFERROR(VLOOKUP($A5,'Arranjos Consolidados'!$E$3:$BM$303,AU$2,FALSE),"")</f>
        <v>158.25416765936461</v>
      </c>
      <c r="AV5" s="31">
        <f>IFERROR(VLOOKUP($A5,'Arranjos Consolidados'!$E$3:$BM$303,AV$2,FALSE),"")</f>
        <v>0</v>
      </c>
      <c r="AW5" s="31">
        <f>IFERROR(VLOOKUP($A5,'Arranjos Consolidados'!$E$3:$BM$303,AW$2,FALSE),"")</f>
        <v>0</v>
      </c>
      <c r="AX5" s="31">
        <f>IFERROR(VLOOKUP($A5,'Arranjos Consolidados'!$E$3:$BM$303,AX$2,FALSE),"")</f>
        <v>278.15488441013269</v>
      </c>
      <c r="AY5" s="31">
        <f>IFERROR(VLOOKUP($A5,'Arranjos Consolidados'!$E$3:$BM$303,AY$2,FALSE),"")</f>
        <v>82.718698010625403</v>
      </c>
      <c r="AZ5" s="31">
        <f>IFERROR(VLOOKUP($A5,'Arranjos Consolidados'!$E$3:$BM$303,AZ$2,FALSE),"")</f>
        <v>81.431744333128037</v>
      </c>
      <c r="BA5" s="31">
        <f>IFERROR(VLOOKUP($A5,'Arranjos Consolidados'!$E$3:$BM$303,BA$2,FALSE),"")</f>
        <v>114.00444206637926</v>
      </c>
      <c r="BB5" s="31">
        <f>IFERROR(VLOOKUP($A5,'Arranjos Consolidados'!$E$3:$BM$303,BB$2,FALSE),"")</f>
        <v>0</v>
      </c>
      <c r="BC5" s="31">
        <f>IFERROR(VLOOKUP($A5,'Arranjos Consolidados'!$E$3:$BM$303,BC$2,FALSE),"")</f>
        <v>148.84093285083557</v>
      </c>
      <c r="BD5" s="31">
        <f>IFERROR(VLOOKUP($A5,'Arranjos Consolidados'!$E$3:$BM$303,BD$2,FALSE),"")</f>
        <v>51.669403464756378</v>
      </c>
      <c r="BE5" s="31">
        <f>IFERROR(VLOOKUP($A5,'Arranjos Consolidados'!$E$3:$BM$303,BE$2,FALSE),"")</f>
        <v>1.583132976279912</v>
      </c>
      <c r="BF5" s="31">
        <f>IFERROR(VLOOKUP($A5,'Arranjos Consolidados'!$E$3:$BM$303,BF$2,FALSE),"")</f>
        <v>95.588396409799287</v>
      </c>
      <c r="BG5" s="31">
        <f>IFERROR(VLOOKUP($A5,'Arranjos Consolidados'!$E$3:$BM$303,BG$2,FALSE),"")</f>
        <v>0</v>
      </c>
      <c r="BH5" s="31">
        <f>IFERROR(VLOOKUP($A5,'Arranjos Consolidados'!$E$3:$BM$303,BH$2,FALSE),"")</f>
        <v>934.20930709709887</v>
      </c>
      <c r="BI5" s="31">
        <f>IFERROR(VLOOKUP($A5,'Arranjos Consolidados'!$E$3:$BM$303,BI$2,FALSE),"")</f>
        <v>1406.1689875033078</v>
      </c>
      <c r="BJ5" s="34">
        <f>IFERROR(VLOOKUP($A5,'Arranjos Consolidados'!$E$3:$BM$303,BJ$2,FALSE),"")</f>
        <v>1.6086839513104974</v>
      </c>
      <c r="BK5" s="34">
        <f>IFERROR(VLOOKUP($A5,'Arranjos Consolidados'!$E$3:$BM$303,BK$2,FALSE),"")</f>
        <v>1.2484894400348823</v>
      </c>
    </row>
    <row r="6" spans="1:63" ht="16.5" x14ac:dyDescent="0.25">
      <c r="A6" s="24" t="s">
        <v>10013</v>
      </c>
      <c r="B6" s="32">
        <f>'Banco de Dados'!$I$29</f>
        <v>300</v>
      </c>
      <c r="C6" s="25">
        <f>'Banco de Dados'!$I$30/100</f>
        <v>0.42499999999999999</v>
      </c>
      <c r="D6" s="29">
        <f>IFERROR(VLOOKUP($A6,'Arranjos Consolidados'!$E$3:$BM$303,D$2,FALSE),"")</f>
        <v>18919</v>
      </c>
      <c r="E6" s="33">
        <f>IFERROR(VLOOKUP($A6,'Arranjos Consolidados'!$E$3:$BM$303,E$2,FALSE),"")</f>
        <v>0.89712986944341666</v>
      </c>
      <c r="F6" s="29">
        <f>IFERROR(VLOOKUP($A6,'Arranjos Consolidados'!$E$3:$BM$303,F$2,FALSE),"")</f>
        <v>200</v>
      </c>
      <c r="G6" s="31">
        <f>IFERROR(VLOOKUP($A6,'Arranjos Consolidados'!$E$3:$BM$303,G$2,FALSE),"")</f>
        <v>683.34758780995651</v>
      </c>
      <c r="H6" s="34">
        <f>IFERROR(VLOOKUP($A6,'Arranjos Consolidados'!$E$3:$BM$303,H$2,FALSE),"")</f>
        <v>1.5411024500522326</v>
      </c>
      <c r="I6" s="29">
        <f>IFERROR(VLOOKUP($A6,'Arranjos Consolidados'!$E$3:$BM$303,I$2,FALSE),"")</f>
        <v>30</v>
      </c>
      <c r="J6" s="31">
        <f>IFERROR(VLOOKUP($A6,'Arranjos Consolidados'!$E$3:$BM$303,J$2,FALSE),"")</f>
        <v>120.78209503798321</v>
      </c>
      <c r="K6" s="31">
        <f>IFERROR(VLOOKUP($A6,'Arranjos Consolidados'!$E$3:$BM$303,K$2,FALSE),"")</f>
        <v>23.659077564284253</v>
      </c>
      <c r="L6" s="31">
        <f>IFERROR(VLOOKUP($A6,'Arranjos Consolidados'!$E$3:$BM$303,L$2,FALSE),"")</f>
        <v>25.739401664939738</v>
      </c>
      <c r="M6" s="31">
        <f>IFERROR(VLOOKUP($A6,'Arranjos Consolidados'!$E$3:$BM$303,M$2,FALSE),"")</f>
        <v>18.81034839829945</v>
      </c>
      <c r="N6" s="31">
        <f>IFERROR(VLOOKUP($A6,'Arranjos Consolidados'!$E$3:$BM$303,N$2,FALSE),"")</f>
        <v>4.737336876432158</v>
      </c>
      <c r="O6" s="31">
        <f>IFERROR(VLOOKUP($A6,'Arranjos Consolidados'!$E$3:$BM$303,O$2,FALSE),"")</f>
        <v>2.1917163902081289</v>
      </c>
      <c r="P6" s="31">
        <f>IFERROR(VLOOKUP($A6,'Arranjos Consolidados'!$E$3:$BM$303,P$2,FALSE),"")</f>
        <v>2.1917163902081289</v>
      </c>
      <c r="Q6" s="31">
        <f>IFERROR(VLOOKUP($A6,'Arranjos Consolidados'!$E$3:$BM$303,Q$2,FALSE),"")</f>
        <v>0</v>
      </c>
      <c r="R6" s="31">
        <f>IFERROR(VLOOKUP($A6,'Arranjos Consolidados'!$E$3:$BM$303,R$2,FALSE),"")</f>
        <v>0</v>
      </c>
      <c r="S6" s="31">
        <f>IFERROR(VLOOKUP($A6,'Arranjos Consolidados'!$E$3:$BM$303,S$2,FALSE),"")</f>
        <v>16320.55445704804</v>
      </c>
      <c r="T6" s="31">
        <f>IFERROR(VLOOKUP($A6,'Arranjos Consolidados'!$E$3:$BM$303,T$2,FALSE),"")</f>
        <v>0</v>
      </c>
      <c r="U6" s="31">
        <f>IFERROR(VLOOKUP($A6,'Arranjos Consolidados'!$E$3:$BM$303,U$2,FALSE),"")</f>
        <v>0</v>
      </c>
      <c r="V6" s="31">
        <f>IFERROR(VLOOKUP($A6,'Arranjos Consolidados'!$E$3:$BM$303,V$2,FALSE),"")</f>
        <v>0</v>
      </c>
      <c r="W6" s="31">
        <f>IFERROR(VLOOKUP($A6,'Arranjos Consolidados'!$E$3:$BM$303,W$2,FALSE),"")</f>
        <v>1158.929047652658</v>
      </c>
      <c r="X6" s="29">
        <f>IFERROR(VLOOKUP($A6,'Arranjos Consolidados'!$E$3:$BM$303,X$2,FALSE),"")</f>
        <v>0</v>
      </c>
      <c r="Y6" s="31">
        <f>IFERROR(VLOOKUP($A6,'Arranjos Consolidados'!$E$3:$BM$303,Y$2,FALSE),"")</f>
        <v>507.44234841323436</v>
      </c>
      <c r="Z6" s="29">
        <f>IFERROR(VLOOKUP($A6,'Arranjos Consolidados'!$E$3:$BM$303,Z$2,FALSE),"")</f>
        <v>39.660825377863191</v>
      </c>
      <c r="AA6" s="31">
        <f>IFERROR(VLOOKUP($A6,'Arranjos Consolidados'!$E$3:$BM$303,AA$2,FALSE),"")</f>
        <v>611.82587386156069</v>
      </c>
      <c r="AB6" s="31">
        <f>IFERROR(VLOOKUP($A6,'Arranjos Consolidados'!$E$3:$BM$303,AB$2,FALSE),"")</f>
        <v>475.58145984270146</v>
      </c>
      <c r="AC6" s="31">
        <f>IFERROR(VLOOKUP($A6,'Arranjos Consolidados'!$E$3:$BM$303,AC$2,FALSE),"")</f>
        <v>4.5768750929060884</v>
      </c>
      <c r="AD6" s="31">
        <f>IFERROR(VLOOKUP($A6,'Arranjos Consolidados'!$E$3:$BM$303,AD$2,FALSE),"")</f>
        <v>0</v>
      </c>
      <c r="AE6" s="31">
        <f>IFERROR(VLOOKUP($A6,'Arranjos Consolidados'!$E$3:$BM$303,AE$2,FALSE),"")</f>
        <v>0</v>
      </c>
      <c r="AF6" s="31">
        <f>IFERROR(VLOOKUP($A6,'Arranjos Consolidados'!$E$3:$BM$303,AF$2,FALSE),"")</f>
        <v>348.00422652035303</v>
      </c>
      <c r="AG6" s="31">
        <f>IFERROR(VLOOKUP($A6,'Arranjos Consolidados'!$E$3:$BM$303,AG$2,FALSE),"")</f>
        <v>123.00035822944251</v>
      </c>
      <c r="AH6" s="31">
        <f>IFERROR(VLOOKUP($A6,'Arranjos Consolidados'!$E$3:$BM$303,AH$2,FALSE),"")</f>
        <v>0</v>
      </c>
      <c r="AI6" s="31">
        <f>IFERROR(VLOOKUP($A6,'Arranjos Consolidados'!$E$3:$BM$303,AI$2,FALSE),"")</f>
        <v>0</v>
      </c>
      <c r="AJ6" s="31">
        <f>IFERROR(VLOOKUP($A6,'Arranjos Consolidados'!$E$3:$BM$303,AJ$2,FALSE),"")</f>
        <v>0</v>
      </c>
      <c r="AK6" s="31">
        <f>IFERROR(VLOOKUP($A6,'Arranjos Consolidados'!$E$3:$BM$303,AK$2,FALSE),"")</f>
        <v>0</v>
      </c>
      <c r="AL6" s="34">
        <f>IFERROR(VLOOKUP($A6,'Arranjos Consolidados'!$E$3:$BM$303,AL$2,FALSE),"")</f>
        <v>0.77736783834817114</v>
      </c>
      <c r="AM6" s="31">
        <f>IFERROR(VLOOKUP($A6,'Arranjos Consolidados'!$E$3:$BM$303,AM$2,FALSE),"")</f>
        <v>683.34758780995651</v>
      </c>
      <c r="AN6" s="31">
        <f>IFERROR(VLOOKUP($A6,'Arranjos Consolidados'!$E$3:$BM$303,AN$2,FALSE),"")</f>
        <v>352.58110161325914</v>
      </c>
      <c r="AO6" s="31">
        <f>IFERROR(VLOOKUP($A6,'Arranjos Consolidados'!$E$3:$BM$303,AO$2,FALSE),"")</f>
        <v>4.5768750929060884</v>
      </c>
      <c r="AP6" s="31">
        <f>IFERROR(VLOOKUP($A6,'Arranjos Consolidados'!$E$3:$BM$303,AP$2,FALSE),"")</f>
        <v>0</v>
      </c>
      <c r="AQ6" s="31">
        <f>IFERROR(VLOOKUP($A6,'Arranjos Consolidados'!$E$3:$BM$303,AQ$2,FALSE),"")</f>
        <v>0</v>
      </c>
      <c r="AR6" s="31">
        <f>IFERROR(VLOOKUP($A6,'Arranjos Consolidados'!$E$3:$BM$303,AR$2,FALSE),"")</f>
        <v>348.00422652035303</v>
      </c>
      <c r="AS6" s="31">
        <f>IFERROR(VLOOKUP($A6,'Arranjos Consolidados'!$E$3:$BM$303,AS$2,FALSE),"")</f>
        <v>624.81932195204536</v>
      </c>
      <c r="AT6" s="31">
        <f>IFERROR(VLOOKUP($A6,'Arranjos Consolidados'!$E$3:$BM$303,AT$2,FALSE),"")</f>
        <v>166.14751919586803</v>
      </c>
      <c r="AU6" s="31">
        <f>IFERROR(VLOOKUP($A6,'Arranjos Consolidados'!$E$3:$BM$303,AU$2,FALSE),"")</f>
        <v>166.14751919586803</v>
      </c>
      <c r="AV6" s="31">
        <f>IFERROR(VLOOKUP($A6,'Arranjos Consolidados'!$E$3:$BM$303,AV$2,FALSE),"")</f>
        <v>0</v>
      </c>
      <c r="AW6" s="31">
        <f>IFERROR(VLOOKUP($A6,'Arranjos Consolidados'!$E$3:$BM$303,AW$2,FALSE),"")</f>
        <v>0</v>
      </c>
      <c r="AX6" s="31">
        <f>IFERROR(VLOOKUP($A6,'Arranjos Consolidados'!$E$3:$BM$303,AX$2,FALSE),"")</f>
        <v>306.57422961802149</v>
      </c>
      <c r="AY6" s="31">
        <f>IFERROR(VLOOKUP($A6,'Arranjos Consolidados'!$E$3:$BM$303,AY$2,FALSE),"")</f>
        <v>82.718698010625445</v>
      </c>
      <c r="AZ6" s="31">
        <f>IFERROR(VLOOKUP($A6,'Arranjos Consolidados'!$E$3:$BM$303,AZ$2,FALSE),"")</f>
        <v>93.273138169748336</v>
      </c>
      <c r="BA6" s="31">
        <f>IFERROR(VLOOKUP($A6,'Arranjos Consolidados'!$E$3:$BM$303,BA$2,FALSE),"")</f>
        <v>130.58239343764771</v>
      </c>
      <c r="BB6" s="31">
        <f>IFERROR(VLOOKUP($A6,'Arranjos Consolidados'!$E$3:$BM$303,BB$2,FALSE),"")</f>
        <v>0</v>
      </c>
      <c r="BC6" s="31">
        <f>IFERROR(VLOOKUP($A6,'Arranjos Consolidados'!$E$3:$BM$303,BC$2,FALSE),"")</f>
        <v>152.09757313815578</v>
      </c>
      <c r="BD6" s="31">
        <f>IFERROR(VLOOKUP($A6,'Arranjos Consolidados'!$E$3:$BM$303,BD$2,FALSE),"")</f>
        <v>52.812084267324863</v>
      </c>
      <c r="BE6" s="31">
        <f>IFERROR(VLOOKUP($A6,'Arranjos Consolidados'!$E$3:$BM$303,BE$2,FALSE),"")</f>
        <v>1.5831329762799125</v>
      </c>
      <c r="BF6" s="31">
        <f>IFERROR(VLOOKUP($A6,'Arranjos Consolidados'!$E$3:$BM$303,BF$2,FALSE),"")</f>
        <v>97.70235589455099</v>
      </c>
      <c r="BG6" s="31">
        <f>IFERROR(VLOOKUP($A6,'Arranjos Consolidados'!$E$3:$BM$303,BG$2,FALSE),"")</f>
        <v>0</v>
      </c>
      <c r="BH6" s="31">
        <f>IFERROR(VLOOKUP($A6,'Arranjos Consolidados'!$E$3:$BM$303,BH$2,FALSE),"")</f>
        <v>977.40042356530455</v>
      </c>
      <c r="BI6" s="31">
        <f>IFERROR(VLOOKUP($A6,'Arranjos Consolidados'!$E$3:$BM$303,BI$2,FALSE),"")</f>
        <v>1452.9818834080063</v>
      </c>
      <c r="BJ6" s="34">
        <f>IFERROR(VLOOKUP($A6,'Arranjos Consolidados'!$E$3:$BM$303,BJ$2,FALSE),"")</f>
        <v>1.7014733611365542</v>
      </c>
      <c r="BK6" s="34">
        <f>IFERROR(VLOOKUP($A6,'Arranjos Consolidados'!$E$3:$BM$303,BK$2,FALSE),"")</f>
        <v>1.5411024500522326</v>
      </c>
    </row>
    <row r="7" spans="1:63" ht="16.5" x14ac:dyDescent="0.25">
      <c r="A7" s="24" t="s">
        <v>10018</v>
      </c>
      <c r="B7" s="32">
        <f>'Banco de Dados'!$I$29</f>
        <v>300</v>
      </c>
      <c r="C7" s="25">
        <f>'Banco de Dados'!$I$30/100</f>
        <v>0.42499999999999999</v>
      </c>
      <c r="D7" s="29">
        <f>IFERROR(VLOOKUP($A7,'Arranjos Consolidados'!$E$3:$BM$303,D$2,FALSE),"")</f>
        <v>56893</v>
      </c>
      <c r="E7" s="33">
        <f>IFERROR(VLOOKUP($A7,'Arranjos Consolidados'!$E$3:$BM$303,E$2,FALSE),"")</f>
        <v>0.8971338410074764</v>
      </c>
      <c r="F7" s="29">
        <f>IFERROR(VLOOKUP($A7,'Arranjos Consolidados'!$E$3:$BM$303,F$2,FALSE),"")</f>
        <v>200.00000000000003</v>
      </c>
      <c r="G7" s="31">
        <f>IFERROR(VLOOKUP($A7,'Arranjos Consolidados'!$E$3:$BM$303,G$2,FALSE),"")</f>
        <v>671.12444806417204</v>
      </c>
      <c r="H7" s="34">
        <f>IFERROR(VLOOKUP($A7,'Arranjos Consolidados'!$E$3:$BM$303,H$2,FALSE),"")</f>
        <v>1.4347839931814408</v>
      </c>
      <c r="I7" s="29">
        <f>IFERROR(VLOOKUP($A7,'Arranjos Consolidados'!$E$3:$BM$303,I$2,FALSE),"")</f>
        <v>30</v>
      </c>
      <c r="J7" s="31">
        <f>IFERROR(VLOOKUP($A7,'Arranjos Consolidados'!$E$3:$BM$303,J$2,FALSE),"")</f>
        <v>122.42924907584413</v>
      </c>
      <c r="K7" s="31">
        <f>IFERROR(VLOOKUP($A7,'Arranjos Consolidados'!$E$3:$BM$303,K$2,FALSE),"")</f>
        <v>24.212645877535373</v>
      </c>
      <c r="L7" s="31">
        <f>IFERROR(VLOOKUP($A7,'Arranjos Consolidados'!$E$3:$BM$303,L$2,FALSE),"")</f>
        <v>25.739401664939734</v>
      </c>
      <c r="M7" s="31">
        <f>IFERROR(VLOOKUP($A7,'Arranjos Consolidados'!$E$3:$BM$303,M$2,FALSE),"")</f>
        <v>15.662356842137049</v>
      </c>
      <c r="N7" s="31">
        <f>IFERROR(VLOOKUP($A7,'Arranjos Consolidados'!$E$3:$BM$303,N$2,FALSE),"")</f>
        <v>5.911989279781297</v>
      </c>
      <c r="O7" s="31">
        <f>IFERROR(VLOOKUP($A7,'Arranjos Consolidados'!$E$3:$BM$303,O$2,FALSE),"")</f>
        <v>4.1650555430213938</v>
      </c>
      <c r="P7" s="31">
        <f>IFERROR(VLOOKUP($A7,'Arranjos Consolidados'!$E$3:$BM$303,P$2,FALSE),"")</f>
        <v>2.1604897819180908</v>
      </c>
      <c r="Q7" s="31">
        <f>IFERROR(VLOOKUP($A7,'Arranjos Consolidados'!$E$3:$BM$303,Q$2,FALSE),"")</f>
        <v>0.96632838183475123</v>
      </c>
      <c r="R7" s="31">
        <f>IFERROR(VLOOKUP($A7,'Arranjos Consolidados'!$E$3:$BM$303,R$2,FALSE),"")</f>
        <v>1.0382373792685522</v>
      </c>
      <c r="S7" s="31">
        <f>IFERROR(VLOOKUP($A7,'Arranjos Consolidados'!$E$3:$BM$303,S$2,FALSE),"")</f>
        <v>12654.088027642387</v>
      </c>
      <c r="T7" s="31">
        <f>IFERROR(VLOOKUP($A7,'Arranjos Consolidados'!$E$3:$BM$303,T$2,FALSE),"")</f>
        <v>702.19425838988673</v>
      </c>
      <c r="U7" s="31">
        <f>IFERROR(VLOOKUP($A7,'Arranjos Consolidados'!$E$3:$BM$303,U$2,FALSE),"")</f>
        <v>0</v>
      </c>
      <c r="V7" s="31">
        <f>IFERROR(VLOOKUP($A7,'Arranjos Consolidados'!$E$3:$BM$303,V$2,FALSE),"")</f>
        <v>0</v>
      </c>
      <c r="W7" s="31">
        <f>IFERROR(VLOOKUP($A7,'Arranjos Consolidados'!$E$3:$BM$303,W$2,FALSE),"")</f>
        <v>1076.0596532438901</v>
      </c>
      <c r="X7" s="29">
        <f>IFERROR(VLOOKUP($A7,'Arranjos Consolidados'!$E$3:$BM$303,X$2,FALSE),"")</f>
        <v>0</v>
      </c>
      <c r="Y7" s="31">
        <f>IFERROR(VLOOKUP($A7,'Arranjos Consolidados'!$E$3:$BM$303,Y$2,FALSE),"")</f>
        <v>526.40523994961814</v>
      </c>
      <c r="Z7" s="29">
        <f>IFERROR(VLOOKUP($A7,'Arranjos Consolidados'!$E$3:$BM$303,Z$2,FALSE),"")</f>
        <v>8.7778784215446954</v>
      </c>
      <c r="AA7" s="31">
        <f>IFERROR(VLOOKUP($A7,'Arranjos Consolidados'!$E$3:$BM$303,AA$2,FALSE),"")</f>
        <v>540.87653487272701</v>
      </c>
      <c r="AB7" s="31">
        <f>IFERROR(VLOOKUP($A7,'Arranjos Consolidados'!$E$3:$BM$303,AB$2,FALSE),"")</f>
        <v>404.93520517971791</v>
      </c>
      <c r="AC7" s="31">
        <f>IFERROR(VLOOKUP($A7,'Arranjos Consolidados'!$E$3:$BM$303,AC$2,FALSE),"")</f>
        <v>5.2696671642433461</v>
      </c>
      <c r="AD7" s="31">
        <f>IFERROR(VLOOKUP($A7,'Arranjos Consolidados'!$E$3:$BM$303,AD$2,FALSE),"")</f>
        <v>0</v>
      </c>
      <c r="AE7" s="31">
        <f>IFERROR(VLOOKUP($A7,'Arranjos Consolidados'!$E$3:$BM$303,AE$2,FALSE),"")</f>
        <v>0</v>
      </c>
      <c r="AF7" s="31">
        <f>IFERROR(VLOOKUP($A7,'Arranjos Consolidados'!$E$3:$BM$303,AF$2,FALSE),"")</f>
        <v>281.50411966012746</v>
      </c>
      <c r="AG7" s="31">
        <f>IFERROR(VLOOKUP($A7,'Arranjos Consolidados'!$E$3:$BM$303,AG$2,FALSE),"")</f>
        <v>118.16141835534711</v>
      </c>
      <c r="AH7" s="31">
        <f>IFERROR(VLOOKUP($A7,'Arranjos Consolidados'!$E$3:$BM$303,AH$2,FALSE),"")</f>
        <v>7.5706332448015852E-16</v>
      </c>
      <c r="AI7" s="31">
        <f>IFERROR(VLOOKUP($A7,'Arranjos Consolidados'!$E$3:$BM$303,AI$2,FALSE),"")</f>
        <v>0</v>
      </c>
      <c r="AJ7" s="31">
        <f>IFERROR(VLOOKUP($A7,'Arranjos Consolidados'!$E$3:$BM$303,AJ$2,FALSE),"")</f>
        <v>0</v>
      </c>
      <c r="AK7" s="31">
        <f>IFERROR(VLOOKUP($A7,'Arranjos Consolidados'!$E$3:$BM$303,AK$2,FALSE),"")</f>
        <v>0</v>
      </c>
      <c r="AL7" s="34">
        <f>IFERROR(VLOOKUP($A7,'Arranjos Consolidados'!$E$3:$BM$303,AL$2,FALSE),"")</f>
        <v>0.71818988183429067</v>
      </c>
      <c r="AM7" s="31">
        <f>IFERROR(VLOOKUP($A7,'Arranjos Consolidados'!$E$3:$BM$303,AM$2,FALSE),"")</f>
        <v>671.12444806417204</v>
      </c>
      <c r="AN7" s="31">
        <f>IFERROR(VLOOKUP($A7,'Arranjos Consolidados'!$E$3:$BM$303,AN$2,FALSE),"")</f>
        <v>286.7737868243708</v>
      </c>
      <c r="AO7" s="31">
        <f>IFERROR(VLOOKUP($A7,'Arranjos Consolidados'!$E$3:$BM$303,AO$2,FALSE),"")</f>
        <v>5.2696671642433461</v>
      </c>
      <c r="AP7" s="31">
        <f>IFERROR(VLOOKUP($A7,'Arranjos Consolidados'!$E$3:$BM$303,AP$2,FALSE),"")</f>
        <v>0</v>
      </c>
      <c r="AQ7" s="31">
        <f>IFERROR(VLOOKUP($A7,'Arranjos Consolidados'!$E$3:$BM$303,AQ$2,FALSE),"")</f>
        <v>0</v>
      </c>
      <c r="AR7" s="31">
        <f>IFERROR(VLOOKUP($A7,'Arranjos Consolidados'!$E$3:$BM$303,AR$2,FALSE),"")</f>
        <v>281.50411966012746</v>
      </c>
      <c r="AS7" s="31">
        <f>IFERROR(VLOOKUP($A7,'Arranjos Consolidados'!$E$3:$BM$303,AS$2,FALSE),"")</f>
        <v>619.22568381607039</v>
      </c>
      <c r="AT7" s="31">
        <f>IFERROR(VLOOKUP($A7,'Arranjos Consolidados'!$E$3:$BM$303,AT$2,FALSE),"")</f>
        <v>154.59670718900628</v>
      </c>
      <c r="AU7" s="31">
        <f>IFERROR(VLOOKUP($A7,'Arranjos Consolidados'!$E$3:$BM$303,AU$2,FALSE),"")</f>
        <v>154.59670718900628</v>
      </c>
      <c r="AV7" s="31">
        <f>IFERROR(VLOOKUP($A7,'Arranjos Consolidados'!$E$3:$BM$303,AV$2,FALSE),"")</f>
        <v>0</v>
      </c>
      <c r="AW7" s="31">
        <f>IFERROR(VLOOKUP($A7,'Arranjos Consolidados'!$E$3:$BM$303,AW$2,FALSE),"")</f>
        <v>0</v>
      </c>
      <c r="AX7" s="31">
        <f>IFERROR(VLOOKUP($A7,'Arranjos Consolidados'!$E$3:$BM$303,AX$2,FALSE),"")</f>
        <v>315.6219385502859</v>
      </c>
      <c r="AY7" s="31">
        <f>IFERROR(VLOOKUP($A7,'Arranjos Consolidados'!$E$3:$BM$303,AY$2,FALSE),"")</f>
        <v>81.418445234679751</v>
      </c>
      <c r="AZ7" s="31">
        <f>IFERROR(VLOOKUP($A7,'Arranjos Consolidados'!$E$3:$BM$303,AZ$2,FALSE),"")</f>
        <v>97.58478888150259</v>
      </c>
      <c r="BA7" s="31">
        <f>IFERROR(VLOOKUP($A7,'Arranjos Consolidados'!$E$3:$BM$303,BA$2,FALSE),"")</f>
        <v>136.61870443410362</v>
      </c>
      <c r="BB7" s="31">
        <f>IFERROR(VLOOKUP($A7,'Arranjos Consolidados'!$E$3:$BM$303,BB$2,FALSE),"")</f>
        <v>0</v>
      </c>
      <c r="BC7" s="31">
        <f>IFERROR(VLOOKUP($A7,'Arranjos Consolidados'!$E$3:$BM$303,BC$2,FALSE),"")</f>
        <v>149.00703807677812</v>
      </c>
      <c r="BD7" s="31">
        <f>IFERROR(VLOOKUP($A7,'Arranjos Consolidados'!$E$3:$BM$303,BD$2,FALSE),"")</f>
        <v>51.736417656522981</v>
      </c>
      <c r="BE7" s="31">
        <f>IFERROR(VLOOKUP($A7,'Arranjos Consolidados'!$E$3:$BM$303,BE$2,FALSE),"")</f>
        <v>1.5582477556876504</v>
      </c>
      <c r="BF7" s="31">
        <f>IFERROR(VLOOKUP($A7,'Arranjos Consolidados'!$E$3:$BM$303,BF$2,FALSE),"")</f>
        <v>95.712372664567511</v>
      </c>
      <c r="BG7" s="31">
        <f>IFERROR(VLOOKUP($A7,'Arranjos Consolidados'!$E$3:$BM$303,BG$2,FALSE),"")</f>
        <v>0</v>
      </c>
      <c r="BH7" s="31">
        <f>IFERROR(VLOOKUP($A7,'Arranjos Consolidados'!$E$3:$BM$303,BH$2,FALSE),"")</f>
        <v>905.99947064044113</v>
      </c>
      <c r="BI7" s="31">
        <f>IFERROR(VLOOKUP($A7,'Arranjos Consolidados'!$E$3:$BM$303,BI$2,FALSE),"")</f>
        <v>1310.9346758201589</v>
      </c>
      <c r="BJ7" s="34">
        <f>IFERROR(VLOOKUP($A7,'Arranjos Consolidados'!$E$3:$BM$303,BJ$2,FALSE),"")</f>
        <v>1.8490668325890167</v>
      </c>
      <c r="BK7" s="34">
        <f>IFERROR(VLOOKUP($A7,'Arranjos Consolidados'!$E$3:$BM$303,BK$2,FALSE),"")</f>
        <v>1.4347839931814408</v>
      </c>
    </row>
    <row r="8" spans="1:63" ht="16.5" x14ac:dyDescent="0.25">
      <c r="A8" s="24" t="s">
        <v>10011</v>
      </c>
      <c r="B8" s="32">
        <f>'Banco de Dados'!$I$29</f>
        <v>300</v>
      </c>
      <c r="C8" s="25">
        <f>'Banco de Dados'!$I$30/100</f>
        <v>0.42499999999999999</v>
      </c>
      <c r="D8" s="29">
        <f>IFERROR(VLOOKUP($A8,'Arranjos Consolidados'!$E$3:$BM$303,D$2,FALSE),"")</f>
        <v>73378</v>
      </c>
      <c r="E8" s="33">
        <f>IFERROR(VLOOKUP($A8,'Arranjos Consolidados'!$E$3:$BM$303,E$2,FALSE),"")</f>
        <v>0.89712768972223778</v>
      </c>
      <c r="F8" s="29">
        <f>IFERROR(VLOOKUP($A8,'Arranjos Consolidados'!$E$3:$BM$303,F$2,FALSE),"")</f>
        <v>200</v>
      </c>
      <c r="G8" s="31">
        <f>IFERROR(VLOOKUP($A8,'Arranjos Consolidados'!$E$3:$BM$303,G$2,FALSE),"")</f>
        <v>749.02431720563322</v>
      </c>
      <c r="H8" s="34">
        <f>IFERROR(VLOOKUP($A8,'Arranjos Consolidados'!$E$3:$BM$303,H$2,FALSE),"")</f>
        <v>0.87593173543978953</v>
      </c>
      <c r="I8" s="29">
        <f>IFERROR(VLOOKUP($A8,'Arranjos Consolidados'!$E$3:$BM$303,I$2,FALSE),"")</f>
        <v>30</v>
      </c>
      <c r="J8" s="31">
        <f>IFERROR(VLOOKUP($A8,'Arranjos Consolidados'!$E$3:$BM$303,J$2,FALSE),"")</f>
        <v>91.560620588688693</v>
      </c>
      <c r="K8" s="31">
        <f>IFERROR(VLOOKUP($A8,'Arranjos Consolidados'!$E$3:$BM$303,K$2,FALSE),"")</f>
        <v>17.774656968432353</v>
      </c>
      <c r="L8" s="31">
        <f>IFERROR(VLOOKUP($A8,'Arranjos Consolidados'!$E$3:$BM$303,L$2,FALSE),"")</f>
        <v>25.739401664939734</v>
      </c>
      <c r="M8" s="31">
        <f>IFERROR(VLOOKUP($A8,'Arranjos Consolidados'!$E$3:$BM$303,M$2,FALSE),"")</f>
        <v>4.7976829036356081</v>
      </c>
      <c r="N8" s="31">
        <f>IFERROR(VLOOKUP($A8,'Arranjos Consolidados'!$E$3:$BM$303,N$2,FALSE),"")</f>
        <v>9.966071104900097</v>
      </c>
      <c r="O8" s="31">
        <f>IFERROR(VLOOKUP($A8,'Arranjos Consolidados'!$E$3:$BM$303,O$2,FALSE),"")</f>
        <v>10.975647656404028</v>
      </c>
      <c r="P8" s="31">
        <f>IFERROR(VLOOKUP($A8,'Arranjos Consolidados'!$E$3:$BM$303,P$2,FALSE),"")</f>
        <v>2.0527172827789437</v>
      </c>
      <c r="Q8" s="31">
        <f>IFERROR(VLOOKUP($A8,'Arranjos Consolidados'!$E$3:$BM$303,Q$2,FALSE),"")</f>
        <v>4.3014208046851543</v>
      </c>
      <c r="R8" s="31">
        <f>IFERROR(VLOOKUP($A8,'Arranjos Consolidados'!$E$3:$BM$303,R$2,FALSE),"")</f>
        <v>4.6215095689399295</v>
      </c>
      <c r="S8" s="31">
        <f>IFERROR(VLOOKUP($A8,'Arranjos Consolidados'!$E$3:$BM$303,S$2,FALSE),"")</f>
        <v>0</v>
      </c>
      <c r="T8" s="31">
        <f>IFERROR(VLOOKUP($A8,'Arranjos Consolidados'!$E$3:$BM$303,T$2,FALSE),"")</f>
        <v>0</v>
      </c>
      <c r="U8" s="31">
        <f>IFERROR(VLOOKUP($A8,'Arranjos Consolidados'!$E$3:$BM$303,U$2,FALSE),"")</f>
        <v>781.41992120573866</v>
      </c>
      <c r="V8" s="31">
        <f>IFERROR(VLOOKUP($A8,'Arranjos Consolidados'!$E$3:$BM$303,V$2,FALSE),"")</f>
        <v>0</v>
      </c>
      <c r="W8" s="31">
        <f>IFERROR(VLOOKUP($A8,'Arranjos Consolidados'!$E$3:$BM$303,W$2,FALSE),"")</f>
        <v>949.79301355741711</v>
      </c>
      <c r="X8" s="29">
        <f>IFERROR(VLOOKUP($A8,'Arranjos Consolidados'!$E$3:$BM$303,X$2,FALSE),"")</f>
        <v>0</v>
      </c>
      <c r="Y8" s="31">
        <f>IFERROR(VLOOKUP($A8,'Arranjos Consolidados'!$E$3:$BM$303,Y$2,FALSE),"")</f>
        <v>596.15300000000002</v>
      </c>
      <c r="Z8" s="29">
        <f>IFERROR(VLOOKUP($A8,'Arranjos Consolidados'!$E$3:$BM$303,Z$2,FALSE),"")</f>
        <v>53.439</v>
      </c>
      <c r="AA8" s="31">
        <f>IFERROR(VLOOKUP($A8,'Arranjos Consolidados'!$E$3:$BM$303,AA$2,FALSE),"")</f>
        <v>300.20101355741713</v>
      </c>
      <c r="AB8" s="31">
        <f>IFERROR(VLOOKUP($A8,'Arranjos Consolidados'!$E$3:$BM$303,AB$2,FALSE),"")</f>
        <v>200.76869635178389</v>
      </c>
      <c r="AC8" s="31">
        <f>IFERROR(VLOOKUP($A8,'Arranjos Consolidados'!$E$3:$BM$303,AC$2,FALSE),"")</f>
        <v>-11.927837405433962</v>
      </c>
      <c r="AD8" s="31">
        <f>IFERROR(VLOOKUP($A8,'Arranjos Consolidados'!$E$3:$BM$303,AD$2,FALSE),"")</f>
        <v>23.561329403778998</v>
      </c>
      <c r="AE8" s="31">
        <f>IFERROR(VLOOKUP($A8,'Arranjos Consolidados'!$E$3:$BM$303,AE$2,FALSE),"")</f>
        <v>50.867774163228184</v>
      </c>
      <c r="AF8" s="31">
        <f>IFERROR(VLOOKUP($A8,'Arranjos Consolidados'!$E$3:$BM$303,AF$2,FALSE),"")</f>
        <v>0</v>
      </c>
      <c r="AG8" s="31">
        <f>IFERROR(VLOOKUP($A8,'Arranjos Consolidados'!$E$3:$BM$303,AG$2,FALSE),"")</f>
        <v>101.46076875000001</v>
      </c>
      <c r="AH8" s="31">
        <f>IFERROR(VLOOKUP($A8,'Arranjos Consolidados'!$E$3:$BM$303,AH$2,FALSE),"")</f>
        <v>0</v>
      </c>
      <c r="AI8" s="31">
        <f>IFERROR(VLOOKUP($A8,'Arranjos Consolidados'!$E$3:$BM$303,AI$2,FALSE),"")</f>
        <v>17.449196390210563</v>
      </c>
      <c r="AJ8" s="31">
        <f>IFERROR(VLOOKUP($A8,'Arranjos Consolidados'!$E$3:$BM$303,AJ$2,FALSE),"")</f>
        <v>0</v>
      </c>
      <c r="AK8" s="31">
        <f>IFERROR(VLOOKUP($A8,'Arranjos Consolidados'!$E$3:$BM$303,AK$2,FALSE),"")</f>
        <v>19.357465049999998</v>
      </c>
      <c r="AL8" s="34">
        <f>IFERROR(VLOOKUP($A8,'Arranjos Consolidados'!$E$3:$BM$303,AL$2,FALSE),"")</f>
        <v>0.66878087443027379</v>
      </c>
      <c r="AM8" s="31">
        <f>IFERROR(VLOOKUP($A8,'Arranjos Consolidados'!$E$3:$BM$303,AM$2,FALSE),"")</f>
        <v>749.02431720563322</v>
      </c>
      <c r="AN8" s="31">
        <f>IFERROR(VLOOKUP($A8,'Arranjos Consolidados'!$E$3:$BM$303,AN$2,FALSE),"")</f>
        <v>0</v>
      </c>
      <c r="AO8" s="31">
        <f>IFERROR(VLOOKUP($A8,'Arranjos Consolidados'!$E$3:$BM$303,AO$2,FALSE),"")</f>
        <v>0</v>
      </c>
      <c r="AP8" s="31">
        <f>IFERROR(VLOOKUP($A8,'Arranjos Consolidados'!$E$3:$BM$303,AP$2,FALSE),"")</f>
        <v>0</v>
      </c>
      <c r="AQ8" s="31">
        <f>IFERROR(VLOOKUP($A8,'Arranjos Consolidados'!$E$3:$BM$303,AQ$2,FALSE),"")</f>
        <v>0</v>
      </c>
      <c r="AR8" s="31">
        <f>IFERROR(VLOOKUP($A8,'Arranjos Consolidados'!$E$3:$BM$303,AR$2,FALSE),"")</f>
        <v>0</v>
      </c>
      <c r="AS8" s="31">
        <f>IFERROR(VLOOKUP($A8,'Arranjos Consolidados'!$E$3:$BM$303,AS$2,FALSE),"")</f>
        <v>555.52648726216694</v>
      </c>
      <c r="AT8" s="31">
        <f>IFERROR(VLOOKUP($A8,'Arranjos Consolidados'!$E$3:$BM$303,AT$2,FALSE),"")</f>
        <v>106.64006786049795</v>
      </c>
      <c r="AU8" s="31">
        <f>IFERROR(VLOOKUP($A8,'Arranjos Consolidados'!$E$3:$BM$303,AU$2,FALSE),"")</f>
        <v>106.64006786049795</v>
      </c>
      <c r="AV8" s="31">
        <f>IFERROR(VLOOKUP($A8,'Arranjos Consolidados'!$E$3:$BM$303,AV$2,FALSE),"")</f>
        <v>0</v>
      </c>
      <c r="AW8" s="31">
        <f>IFERROR(VLOOKUP($A8,'Arranjos Consolidados'!$E$3:$BM$303,AW$2,FALSE),"")</f>
        <v>0</v>
      </c>
      <c r="AX8" s="31">
        <f>IFERROR(VLOOKUP($A8,'Arranjos Consolidados'!$E$3:$BM$303,AX$2,FALSE),"")</f>
        <v>306.01863602348368</v>
      </c>
      <c r="AY8" s="31">
        <f>IFERROR(VLOOKUP($A8,'Arranjos Consolidados'!$E$3:$BM$303,AY$2,FALSE),"")</f>
        <v>76.930878417473053</v>
      </c>
      <c r="AZ8" s="31">
        <f>IFERROR(VLOOKUP($A8,'Arranjos Consolidados'!$E$3:$BM$303,AZ$2,FALSE),"")</f>
        <v>95.453232335837782</v>
      </c>
      <c r="BA8" s="31">
        <f>IFERROR(VLOOKUP($A8,'Arranjos Consolidados'!$E$3:$BM$303,BA$2,FALSE),"")</f>
        <v>133.63452527017284</v>
      </c>
      <c r="BB8" s="31">
        <f>IFERROR(VLOOKUP($A8,'Arranjos Consolidados'!$E$3:$BM$303,BB$2,FALSE),"")</f>
        <v>0</v>
      </c>
      <c r="BC8" s="31">
        <f>IFERROR(VLOOKUP($A8,'Arranjos Consolidados'!$E$3:$BM$303,BC$2,FALSE),"")</f>
        <v>142.86778337818538</v>
      </c>
      <c r="BD8" s="31">
        <f>IFERROR(VLOOKUP($A8,'Arranjos Consolidados'!$E$3:$BM$303,BD$2,FALSE),"")</f>
        <v>49.612428796056157</v>
      </c>
      <c r="BE8" s="31">
        <f>IFERROR(VLOOKUP($A8,'Arranjos Consolidados'!$E$3:$BM$303,BE$2,FALSE),"")</f>
        <v>1.4723613094253218</v>
      </c>
      <c r="BF8" s="31">
        <f>IFERROR(VLOOKUP($A8,'Arranjos Consolidados'!$E$3:$BM$303,BF$2,FALSE),"")</f>
        <v>91.782993272703891</v>
      </c>
      <c r="BG8" s="31">
        <f>IFERROR(VLOOKUP($A8,'Arranjos Consolidados'!$E$3:$BM$303,BG$2,FALSE),"")</f>
        <v>0</v>
      </c>
      <c r="BH8" s="31">
        <f>IFERROR(VLOOKUP($A8,'Arranjos Consolidados'!$E$3:$BM$303,BH$2,FALSE),"")</f>
        <v>555.52648726216694</v>
      </c>
      <c r="BI8" s="31">
        <f>IFERROR(VLOOKUP($A8,'Arranjos Consolidados'!$E$3:$BM$303,BI$2,FALSE),"")</f>
        <v>756.29518361395083</v>
      </c>
      <c r="BJ8" s="34">
        <f>IFERROR(VLOOKUP($A8,'Arranjos Consolidados'!$E$3:$BM$303,BJ$2,FALSE),"")</f>
        <v>2.1855161722531879</v>
      </c>
      <c r="BK8" s="34">
        <f>IFERROR(VLOOKUP($A8,'Arranjos Consolidados'!$E$3:$BM$303,BK$2,FALSE),"")</f>
        <v>0.87593173543978953</v>
      </c>
    </row>
    <row r="9" spans="1:63" ht="16.5" x14ac:dyDescent="0.25">
      <c r="A9" s="24" t="s">
        <v>10649</v>
      </c>
      <c r="B9" s="32">
        <f>'Banco de Dados'!$I$29</f>
        <v>300</v>
      </c>
      <c r="C9" s="25">
        <f>'Banco de Dados'!$I$30/100</f>
        <v>0.42499999999999999</v>
      </c>
      <c r="D9" s="29">
        <f>IFERROR(VLOOKUP($A9,'Arranjos Consolidados'!$E$3:$BM$303,D$2,FALSE),"")</f>
        <v>73378</v>
      </c>
      <c r="E9" s="33">
        <f>IFERROR(VLOOKUP($A9,'Arranjos Consolidados'!$E$3:$BM$303,E$2,FALSE),"")</f>
        <v>0.89712768972223778</v>
      </c>
      <c r="F9" s="29">
        <f>IFERROR(VLOOKUP($A9,'Arranjos Consolidados'!$E$3:$BM$303,F$2,FALSE),"")</f>
        <v>200</v>
      </c>
      <c r="G9" s="31">
        <f>IFERROR(VLOOKUP($A9,'Arranjos Consolidados'!$E$3:$BM$303,G$2,FALSE),"")</f>
        <v>749.02431720563322</v>
      </c>
      <c r="H9" s="34">
        <f>IFERROR(VLOOKUP($A9,'Arranjos Consolidados'!$E$3:$BM$303,H$2,FALSE),"")</f>
        <v>0.87593173543978953</v>
      </c>
      <c r="I9" s="29">
        <f>IFERROR(VLOOKUP($A9,'Arranjos Consolidados'!$E$3:$BM$303,I$2,FALSE),"")</f>
        <v>30</v>
      </c>
      <c r="J9" s="31">
        <f>IFERROR(VLOOKUP($A9,'Arranjos Consolidados'!$E$3:$BM$303,J$2,FALSE),"")</f>
        <v>91.560620588688693</v>
      </c>
      <c r="K9" s="31">
        <f>IFERROR(VLOOKUP($A9,'Arranjos Consolidados'!$E$3:$BM$303,K$2,FALSE),"")</f>
        <v>17.774656968432353</v>
      </c>
      <c r="L9" s="31">
        <f>IFERROR(VLOOKUP($A9,'Arranjos Consolidados'!$E$3:$BM$303,L$2,FALSE),"")</f>
        <v>25.739401664939734</v>
      </c>
      <c r="M9" s="31">
        <f>IFERROR(VLOOKUP($A9,'Arranjos Consolidados'!$E$3:$BM$303,M$2,FALSE),"")</f>
        <v>4.7976829036356081</v>
      </c>
      <c r="N9" s="31">
        <f>IFERROR(VLOOKUP($A9,'Arranjos Consolidados'!$E$3:$BM$303,N$2,FALSE),"")</f>
        <v>9.966071104900097</v>
      </c>
      <c r="O9" s="31">
        <f>IFERROR(VLOOKUP($A9,'Arranjos Consolidados'!$E$3:$BM$303,O$2,FALSE),"")</f>
        <v>10.975647656404028</v>
      </c>
      <c r="P9" s="31">
        <f>IFERROR(VLOOKUP($A9,'Arranjos Consolidados'!$E$3:$BM$303,P$2,FALSE),"")</f>
        <v>2.0527172827789437</v>
      </c>
      <c r="Q9" s="31">
        <f>IFERROR(VLOOKUP($A9,'Arranjos Consolidados'!$E$3:$BM$303,Q$2,FALSE),"")</f>
        <v>4.3014208046851543</v>
      </c>
      <c r="R9" s="31">
        <f>IFERROR(VLOOKUP($A9,'Arranjos Consolidados'!$E$3:$BM$303,R$2,FALSE),"")</f>
        <v>4.6215095689399295</v>
      </c>
      <c r="S9" s="31">
        <f>IFERROR(VLOOKUP($A9,'Arranjos Consolidados'!$E$3:$BM$303,S$2,FALSE),"")</f>
        <v>0</v>
      </c>
      <c r="T9" s="31">
        <f>IFERROR(VLOOKUP($A9,'Arranjos Consolidados'!$E$3:$BM$303,T$2,FALSE),"")</f>
        <v>0</v>
      </c>
      <c r="U9" s="31">
        <f>IFERROR(VLOOKUP($A9,'Arranjos Consolidados'!$E$3:$BM$303,U$2,FALSE),"")</f>
        <v>781.41992120573866</v>
      </c>
      <c r="V9" s="31">
        <f>IFERROR(VLOOKUP($A9,'Arranjos Consolidados'!$E$3:$BM$303,V$2,FALSE),"")</f>
        <v>0</v>
      </c>
      <c r="W9" s="31">
        <f>IFERROR(VLOOKUP($A9,'Arranjos Consolidados'!$E$3:$BM$303,W$2,FALSE),"")</f>
        <v>949.79301355741711</v>
      </c>
      <c r="X9" s="29">
        <f>IFERROR(VLOOKUP($A9,'Arranjos Consolidados'!$E$3:$BM$303,X$2,FALSE),"")</f>
        <v>0</v>
      </c>
      <c r="Y9" s="31">
        <f>IFERROR(VLOOKUP($A9,'Arranjos Consolidados'!$E$3:$BM$303,Y$2,FALSE),"")</f>
        <v>596.15300000000002</v>
      </c>
      <c r="Z9" s="29">
        <f>IFERROR(VLOOKUP($A9,'Arranjos Consolidados'!$E$3:$BM$303,Z$2,FALSE),"")</f>
        <v>53.439</v>
      </c>
      <c r="AA9" s="31">
        <f>IFERROR(VLOOKUP($A9,'Arranjos Consolidados'!$E$3:$BM$303,AA$2,FALSE),"")</f>
        <v>300.20101355741713</v>
      </c>
      <c r="AB9" s="31">
        <f>IFERROR(VLOOKUP($A9,'Arranjos Consolidados'!$E$3:$BM$303,AB$2,FALSE),"")</f>
        <v>200.76869635178389</v>
      </c>
      <c r="AC9" s="31">
        <f>IFERROR(VLOOKUP($A9,'Arranjos Consolidados'!$E$3:$BM$303,AC$2,FALSE),"")</f>
        <v>-11.927837405433962</v>
      </c>
      <c r="AD9" s="31">
        <f>IFERROR(VLOOKUP($A9,'Arranjos Consolidados'!$E$3:$BM$303,AD$2,FALSE),"")</f>
        <v>23.561329403778998</v>
      </c>
      <c r="AE9" s="31">
        <f>IFERROR(VLOOKUP($A9,'Arranjos Consolidados'!$E$3:$BM$303,AE$2,FALSE),"")</f>
        <v>50.867774163228184</v>
      </c>
      <c r="AF9" s="31">
        <f>IFERROR(VLOOKUP($A9,'Arranjos Consolidados'!$E$3:$BM$303,AF$2,FALSE),"")</f>
        <v>0</v>
      </c>
      <c r="AG9" s="31">
        <f>IFERROR(VLOOKUP($A9,'Arranjos Consolidados'!$E$3:$BM$303,AG$2,FALSE),"")</f>
        <v>101.46076875000001</v>
      </c>
      <c r="AH9" s="31">
        <f>IFERROR(VLOOKUP($A9,'Arranjos Consolidados'!$E$3:$BM$303,AH$2,FALSE),"")</f>
        <v>0</v>
      </c>
      <c r="AI9" s="31">
        <f>IFERROR(VLOOKUP($A9,'Arranjos Consolidados'!$E$3:$BM$303,AI$2,FALSE),"")</f>
        <v>17.449196390210563</v>
      </c>
      <c r="AJ9" s="31">
        <f>IFERROR(VLOOKUP($A9,'Arranjos Consolidados'!$E$3:$BM$303,AJ$2,FALSE),"")</f>
        <v>0</v>
      </c>
      <c r="AK9" s="31">
        <f>IFERROR(VLOOKUP($A9,'Arranjos Consolidados'!$E$3:$BM$303,AK$2,FALSE),"")</f>
        <v>19.357465049999998</v>
      </c>
      <c r="AL9" s="34">
        <f>IFERROR(VLOOKUP($A9,'Arranjos Consolidados'!$E$3:$BM$303,AL$2,FALSE),"")</f>
        <v>0.66878087443027379</v>
      </c>
      <c r="AM9" s="31">
        <f>IFERROR(VLOOKUP($A9,'Arranjos Consolidados'!$E$3:$BM$303,AM$2,FALSE),"")</f>
        <v>749.02431720563322</v>
      </c>
      <c r="AN9" s="31">
        <f>IFERROR(VLOOKUP($A9,'Arranjos Consolidados'!$E$3:$BM$303,AN$2,FALSE),"")</f>
        <v>0</v>
      </c>
      <c r="AO9" s="31">
        <f>IFERROR(VLOOKUP($A9,'Arranjos Consolidados'!$E$3:$BM$303,AO$2,FALSE),"")</f>
        <v>0</v>
      </c>
      <c r="AP9" s="31">
        <f>IFERROR(VLOOKUP($A9,'Arranjos Consolidados'!$E$3:$BM$303,AP$2,FALSE),"")</f>
        <v>0</v>
      </c>
      <c r="AQ9" s="31">
        <f>IFERROR(VLOOKUP($A9,'Arranjos Consolidados'!$E$3:$BM$303,AQ$2,FALSE),"")</f>
        <v>0</v>
      </c>
      <c r="AR9" s="31">
        <f>IFERROR(VLOOKUP($A9,'Arranjos Consolidados'!$E$3:$BM$303,AR$2,FALSE),"")</f>
        <v>0</v>
      </c>
      <c r="AS9" s="31">
        <f>IFERROR(VLOOKUP($A9,'Arranjos Consolidados'!$E$3:$BM$303,AS$2,FALSE),"")</f>
        <v>555.52648726216694</v>
      </c>
      <c r="AT9" s="31">
        <f>IFERROR(VLOOKUP($A9,'Arranjos Consolidados'!$E$3:$BM$303,AT$2,FALSE),"")</f>
        <v>106.64006786049795</v>
      </c>
      <c r="AU9" s="31">
        <f>IFERROR(VLOOKUP($A9,'Arranjos Consolidados'!$E$3:$BM$303,AU$2,FALSE),"")</f>
        <v>106.64006786049795</v>
      </c>
      <c r="AV9" s="31">
        <f>IFERROR(VLOOKUP($A9,'Arranjos Consolidados'!$E$3:$BM$303,AV$2,FALSE),"")</f>
        <v>0</v>
      </c>
      <c r="AW9" s="31">
        <f>IFERROR(VLOOKUP($A9,'Arranjos Consolidados'!$E$3:$BM$303,AW$2,FALSE),"")</f>
        <v>0</v>
      </c>
      <c r="AX9" s="31">
        <f>IFERROR(VLOOKUP($A9,'Arranjos Consolidados'!$E$3:$BM$303,AX$2,FALSE),"")</f>
        <v>306.01863602348368</v>
      </c>
      <c r="AY9" s="31">
        <f>IFERROR(VLOOKUP($A9,'Arranjos Consolidados'!$E$3:$BM$303,AY$2,FALSE),"")</f>
        <v>76.930878417473053</v>
      </c>
      <c r="AZ9" s="31">
        <f>IFERROR(VLOOKUP($A9,'Arranjos Consolidados'!$E$3:$BM$303,AZ$2,FALSE),"")</f>
        <v>95.453232335837782</v>
      </c>
      <c r="BA9" s="31">
        <f>IFERROR(VLOOKUP($A9,'Arranjos Consolidados'!$E$3:$BM$303,BA$2,FALSE),"")</f>
        <v>133.63452527017284</v>
      </c>
      <c r="BB9" s="31">
        <f>IFERROR(VLOOKUP($A9,'Arranjos Consolidados'!$E$3:$BM$303,BB$2,FALSE),"")</f>
        <v>0</v>
      </c>
      <c r="BC9" s="31">
        <f>IFERROR(VLOOKUP($A9,'Arranjos Consolidados'!$E$3:$BM$303,BC$2,FALSE),"")</f>
        <v>142.86778337818538</v>
      </c>
      <c r="BD9" s="31">
        <f>IFERROR(VLOOKUP($A9,'Arranjos Consolidados'!$E$3:$BM$303,BD$2,FALSE),"")</f>
        <v>49.612428796056157</v>
      </c>
      <c r="BE9" s="31">
        <f>IFERROR(VLOOKUP($A9,'Arranjos Consolidados'!$E$3:$BM$303,BE$2,FALSE),"")</f>
        <v>1.4723613094253218</v>
      </c>
      <c r="BF9" s="31">
        <f>IFERROR(VLOOKUP($A9,'Arranjos Consolidados'!$E$3:$BM$303,BF$2,FALSE),"")</f>
        <v>91.782993272703891</v>
      </c>
      <c r="BG9" s="31">
        <f>IFERROR(VLOOKUP($A9,'Arranjos Consolidados'!$E$3:$BM$303,BG$2,FALSE),"")</f>
        <v>0</v>
      </c>
      <c r="BH9" s="31">
        <f>IFERROR(VLOOKUP($A9,'Arranjos Consolidados'!$E$3:$BM$303,BH$2,FALSE),"")</f>
        <v>555.52648726216694</v>
      </c>
      <c r="BI9" s="31">
        <f>IFERROR(VLOOKUP($A9,'Arranjos Consolidados'!$E$3:$BM$303,BI$2,FALSE),"")</f>
        <v>756.29518361395083</v>
      </c>
      <c r="BJ9" s="34">
        <f>IFERROR(VLOOKUP($A9,'Arranjos Consolidados'!$E$3:$BM$303,BJ$2,FALSE),"")</f>
        <v>2.1855161722531879</v>
      </c>
      <c r="BK9" s="34">
        <f>IFERROR(VLOOKUP($A9,'Arranjos Consolidados'!$E$3:$BM$303,BK$2,FALSE),"")</f>
        <v>0.87593173543978953</v>
      </c>
    </row>
    <row r="10" spans="1:63" ht="16.5" x14ac:dyDescent="0.25">
      <c r="A10" s="24" t="s">
        <v>10014</v>
      </c>
      <c r="B10" s="32">
        <f>'Banco de Dados'!$I$29</f>
        <v>300</v>
      </c>
      <c r="C10" s="25">
        <f>'Banco de Dados'!$I$30/100</f>
        <v>0.42499999999999999</v>
      </c>
      <c r="D10" s="29">
        <f>IFERROR(VLOOKUP($A10,'Arranjos Consolidados'!$E$3:$BM$303,D$2,FALSE),"")</f>
        <v>18919</v>
      </c>
      <c r="E10" s="33">
        <f>IFERROR(VLOOKUP($A10,'Arranjos Consolidados'!$E$3:$BM$303,E$2,FALSE),"")</f>
        <v>0.89712986944341666</v>
      </c>
      <c r="F10" s="29">
        <f>IFERROR(VLOOKUP($A10,'Arranjos Consolidados'!$E$3:$BM$303,F$2,FALSE),"")</f>
        <v>200</v>
      </c>
      <c r="G10" s="31">
        <f>IFERROR(VLOOKUP($A10,'Arranjos Consolidados'!$E$3:$BM$303,G$2,FALSE),"")</f>
        <v>638.25679452853672</v>
      </c>
      <c r="H10" s="34">
        <f>IFERROR(VLOOKUP($A10,'Arranjos Consolidados'!$E$3:$BM$303,H$2,FALSE),"")</f>
        <v>1.1052951824595512</v>
      </c>
      <c r="I10" s="29">
        <f>IFERROR(VLOOKUP($A10,'Arranjos Consolidados'!$E$3:$BM$303,I$2,FALSE),"")</f>
        <v>30</v>
      </c>
      <c r="J10" s="31">
        <f>IFERROR(VLOOKUP($A10,'Arranjos Consolidados'!$E$3:$BM$303,J$2,FALSE),"")</f>
        <v>126.99832216292418</v>
      </c>
      <c r="K10" s="31">
        <f>IFERROR(VLOOKUP($A10,'Arranjos Consolidados'!$E$3:$BM$303,K$2,FALSE),"")</f>
        <v>25.703684923029517</v>
      </c>
      <c r="L10" s="31">
        <f>IFERROR(VLOOKUP($A10,'Arranjos Consolidados'!$E$3:$BM$303,L$2,FALSE),"")</f>
        <v>25.739401664939738</v>
      </c>
      <c r="M10" s="31">
        <f>IFERROR(VLOOKUP($A10,'Arranjos Consolidados'!$E$3:$BM$303,M$2,FALSE),"")</f>
        <v>4.7976829036356099</v>
      </c>
      <c r="N10" s="31">
        <f>IFERROR(VLOOKUP($A10,'Arranjos Consolidados'!$E$3:$BM$303,N$2,FALSE),"")</f>
        <v>9.9660711049000987</v>
      </c>
      <c r="O10" s="31">
        <f>IFERROR(VLOOKUP($A10,'Arranjos Consolidados'!$E$3:$BM$303,O$2,FALSE),"")</f>
        <v>10.975647656404032</v>
      </c>
      <c r="P10" s="31">
        <f>IFERROR(VLOOKUP($A10,'Arranjos Consolidados'!$E$3:$BM$303,P$2,FALSE),"")</f>
        <v>2.0527172827789446</v>
      </c>
      <c r="Q10" s="31">
        <f>IFERROR(VLOOKUP($A10,'Arranjos Consolidados'!$E$3:$BM$303,Q$2,FALSE),"")</f>
        <v>4.3014208046851552</v>
      </c>
      <c r="R10" s="31">
        <f>IFERROR(VLOOKUP($A10,'Arranjos Consolidados'!$E$3:$BM$303,R$2,FALSE),"")</f>
        <v>4.6215095689399313</v>
      </c>
      <c r="S10" s="31">
        <f>IFERROR(VLOOKUP($A10,'Arranjos Consolidados'!$E$3:$BM$303,S$2,FALSE),"")</f>
        <v>0</v>
      </c>
      <c r="T10" s="31">
        <f>IFERROR(VLOOKUP($A10,'Arranjos Consolidados'!$E$3:$BM$303,T$2,FALSE),"")</f>
        <v>0</v>
      </c>
      <c r="U10" s="31">
        <f>IFERROR(VLOOKUP($A10,'Arranjos Consolidados'!$E$3:$BM$303,U$2,FALSE),"")</f>
        <v>781.419921205739</v>
      </c>
      <c r="V10" s="31">
        <f>IFERROR(VLOOKUP($A10,'Arranjos Consolidados'!$E$3:$BM$303,V$2,FALSE),"")</f>
        <v>0</v>
      </c>
      <c r="W10" s="31">
        <f>IFERROR(VLOOKUP($A10,'Arranjos Consolidados'!$E$3:$BM$303,W$2,FALSE),"")</f>
        <v>844.38995401302645</v>
      </c>
      <c r="X10" s="29">
        <f>IFERROR(VLOOKUP($A10,'Arranjos Consolidados'!$E$3:$BM$303,X$2,FALSE),"")</f>
        <v>0</v>
      </c>
      <c r="Y10" s="31">
        <f>IFERROR(VLOOKUP($A10,'Arranjos Consolidados'!$E$3:$BM$303,Y$2,FALSE),"")</f>
        <v>507.44234841323436</v>
      </c>
      <c r="Z10" s="29">
        <f>IFERROR(VLOOKUP($A10,'Arranjos Consolidados'!$E$3:$BM$303,Z$2,FALSE),"")</f>
        <v>39.660825377863191</v>
      </c>
      <c r="AA10" s="31">
        <f>IFERROR(VLOOKUP($A10,'Arranjos Consolidados'!$E$3:$BM$303,AA$2,FALSE),"")</f>
        <v>297.28678022192901</v>
      </c>
      <c r="AB10" s="31">
        <f>IFERROR(VLOOKUP($A10,'Arranjos Consolidados'!$E$3:$BM$303,AB$2,FALSE),"")</f>
        <v>206.13315948448968</v>
      </c>
      <c r="AC10" s="31">
        <f>IFERROR(VLOOKUP($A10,'Arranjos Consolidados'!$E$3:$BM$303,AC$2,FALSE),"")</f>
        <v>-9.0136040699458277</v>
      </c>
      <c r="AD10" s="31">
        <f>IFERROR(VLOOKUP($A10,'Arranjos Consolidados'!$E$3:$BM$303,AD$2,FALSE),"")</f>
        <v>47.122658807557997</v>
      </c>
      <c r="AE10" s="31">
        <f>IFERROR(VLOOKUP($A10,'Arranjos Consolidados'!$E$3:$BM$303,AE$2,FALSE),"")</f>
        <v>101.73554832645632</v>
      </c>
      <c r="AF10" s="31">
        <f>IFERROR(VLOOKUP($A10,'Arranjos Consolidados'!$E$3:$BM$303,AF$2,FALSE),"")</f>
        <v>0</v>
      </c>
      <c r="AG10" s="31">
        <f>IFERROR(VLOOKUP($A10,'Arranjos Consolidados'!$E$3:$BM$303,AG$2,FALSE),"")</f>
        <v>101.46076874999999</v>
      </c>
      <c r="AH10" s="31">
        <f>IFERROR(VLOOKUP($A10,'Arranjos Consolidados'!$E$3:$BM$303,AH$2,FALSE),"")</f>
        <v>0</v>
      </c>
      <c r="AI10" s="31">
        <f>IFERROR(VLOOKUP($A10,'Arranjos Consolidados'!$E$3:$BM$303,AI$2,FALSE),"")</f>
        <v>-54.529677379578793</v>
      </c>
      <c r="AJ10" s="31">
        <f>IFERROR(VLOOKUP($A10,'Arranjos Consolidados'!$E$3:$BM$303,AJ$2,FALSE),"")</f>
        <v>0</v>
      </c>
      <c r="AK10" s="31">
        <f>IFERROR(VLOOKUP($A10,'Arranjos Consolidados'!$E$3:$BM$303,AK$2,FALSE),"")</f>
        <v>19.357465050000005</v>
      </c>
      <c r="AL10" s="34">
        <f>IFERROR(VLOOKUP($A10,'Arranjos Consolidados'!$E$3:$BM$303,AL$2,FALSE),"")</f>
        <v>0.69401351233162234</v>
      </c>
      <c r="AM10" s="31">
        <f>IFERROR(VLOOKUP($A10,'Arranjos Consolidados'!$E$3:$BM$303,AM$2,FALSE),"")</f>
        <v>638.25679452853672</v>
      </c>
      <c r="AN10" s="31">
        <f>IFERROR(VLOOKUP($A10,'Arranjos Consolidados'!$E$3:$BM$303,AN$2,FALSE),"")</f>
        <v>0</v>
      </c>
      <c r="AO10" s="31">
        <f>IFERROR(VLOOKUP($A10,'Arranjos Consolidados'!$E$3:$BM$303,AO$2,FALSE),"")</f>
        <v>0</v>
      </c>
      <c r="AP10" s="31">
        <f>IFERROR(VLOOKUP($A10,'Arranjos Consolidados'!$E$3:$BM$303,AP$2,FALSE),"")</f>
        <v>0</v>
      </c>
      <c r="AQ10" s="31">
        <f>IFERROR(VLOOKUP($A10,'Arranjos Consolidados'!$E$3:$BM$303,AQ$2,FALSE),"")</f>
        <v>0</v>
      </c>
      <c r="AR10" s="31">
        <f>IFERROR(VLOOKUP($A10,'Arranjos Consolidados'!$E$3:$BM$303,AR$2,FALSE),"")</f>
        <v>0</v>
      </c>
      <c r="AS10" s="31">
        <f>IFERROR(VLOOKUP($A10,'Arranjos Consolidados'!$E$3:$BM$303,AS$2,FALSE),"")</f>
        <v>588.84004848630764</v>
      </c>
      <c r="AT10" s="31">
        <f>IFERROR(VLOOKUP($A10,'Arranjos Consolidados'!$E$3:$BM$303,AT$2,FALSE),"")</f>
        <v>115.5586056991563</v>
      </c>
      <c r="AU10" s="31">
        <f>IFERROR(VLOOKUP($A10,'Arranjos Consolidados'!$E$3:$BM$303,AU$2,FALSE),"")</f>
        <v>115.5586056991563</v>
      </c>
      <c r="AV10" s="31">
        <f>IFERROR(VLOOKUP($A10,'Arranjos Consolidados'!$E$3:$BM$303,AV$2,FALSE),"")</f>
        <v>0</v>
      </c>
      <c r="AW10" s="31">
        <f>IFERROR(VLOOKUP($A10,'Arranjos Consolidados'!$E$3:$BM$303,AW$2,FALSE),"")</f>
        <v>0</v>
      </c>
      <c r="AX10" s="31">
        <f>IFERROR(VLOOKUP($A10,'Arranjos Consolidados'!$E$3:$BM$303,AX$2,FALSE),"")</f>
        <v>338.03382443662719</v>
      </c>
      <c r="AY10" s="31">
        <f>IFERROR(VLOOKUP($A10,'Arranjos Consolidados'!$E$3:$BM$303,AY$2,FALSE),"")</f>
        <v>76.930878417473068</v>
      </c>
      <c r="AZ10" s="31">
        <f>IFERROR(VLOOKUP($A10,'Arranjos Consolidados'!$E$3:$BM$303,AZ$2,FALSE),"")</f>
        <v>108.79289417464756</v>
      </c>
      <c r="BA10" s="31">
        <f>IFERROR(VLOOKUP($A10,'Arranjos Consolidados'!$E$3:$BM$303,BA$2,FALSE),"")</f>
        <v>152.31005184450655</v>
      </c>
      <c r="BB10" s="31">
        <f>IFERROR(VLOOKUP($A10,'Arranjos Consolidados'!$E$3:$BM$303,BB$2,FALSE),"")</f>
        <v>0</v>
      </c>
      <c r="BC10" s="31">
        <f>IFERROR(VLOOKUP($A10,'Arranjos Consolidados'!$E$3:$BM$303,BC$2,FALSE),"")</f>
        <v>135.24761835052416</v>
      </c>
      <c r="BD10" s="31">
        <f>IFERROR(VLOOKUP($A10,'Arranjos Consolidados'!$E$3:$BM$303,BD$2,FALSE),"")</f>
        <v>46.938686681087304</v>
      </c>
      <c r="BE10" s="31">
        <f>IFERROR(VLOOKUP($A10,'Arranjos Consolidados'!$E$3:$BM$303,BE$2,FALSE),"")</f>
        <v>1.4723613094253221</v>
      </c>
      <c r="BF10" s="31">
        <f>IFERROR(VLOOKUP($A10,'Arranjos Consolidados'!$E$3:$BM$303,BF$2,FALSE),"")</f>
        <v>86.836570360011521</v>
      </c>
      <c r="BG10" s="31">
        <f>IFERROR(VLOOKUP($A10,'Arranjos Consolidados'!$E$3:$BM$303,BG$2,FALSE),"")</f>
        <v>0</v>
      </c>
      <c r="BH10" s="31">
        <f>IFERROR(VLOOKUP($A10,'Arranjos Consolidados'!$E$3:$BM$303,BH$2,FALSE),"")</f>
        <v>588.84004848630764</v>
      </c>
      <c r="BI10" s="31">
        <f>IFERROR(VLOOKUP($A10,'Arranjos Consolidados'!$E$3:$BM$303,BI$2,FALSE),"")</f>
        <v>794.97320797079726</v>
      </c>
      <c r="BJ10" s="34">
        <f>IFERROR(VLOOKUP($A10,'Arranjos Consolidados'!$E$3:$BM$303,BJ$2,FALSE),"")</f>
        <v>2.3448680238130368</v>
      </c>
      <c r="BK10" s="34">
        <f>IFERROR(VLOOKUP($A10,'Arranjos Consolidados'!$E$3:$BM$303,BK$2,FALSE),"")</f>
        <v>1.1052951824595512</v>
      </c>
    </row>
    <row r="11" spans="1:63" ht="16.5" x14ac:dyDescent="0.25">
      <c r="A11" s="24" t="s">
        <v>10017</v>
      </c>
      <c r="B11" s="32">
        <f>'Banco de Dados'!$I$29</f>
        <v>300</v>
      </c>
      <c r="C11" s="25">
        <f>'Banco de Dados'!$I$30/100</f>
        <v>0.42499999999999999</v>
      </c>
      <c r="D11" s="29">
        <f>IFERROR(VLOOKUP($A11,'Arranjos Consolidados'!$E$3:$BM$303,D$2,FALSE),"")</f>
        <v>56893</v>
      </c>
      <c r="E11" s="33">
        <f>IFERROR(VLOOKUP($A11,'Arranjos Consolidados'!$E$3:$BM$303,E$2,FALSE),"")</f>
        <v>0.8971338410074764</v>
      </c>
      <c r="F11" s="29">
        <f>IFERROR(VLOOKUP($A11,'Arranjos Consolidados'!$E$3:$BM$303,F$2,FALSE),"")</f>
        <v>200.00000000000003</v>
      </c>
      <c r="G11" s="31">
        <f>IFERROR(VLOOKUP($A11,'Arranjos Consolidados'!$E$3:$BM$303,G$2,FALSE),"")</f>
        <v>627.08672562876473</v>
      </c>
      <c r="H11" s="34">
        <f>IFERROR(VLOOKUP($A11,'Arranjos Consolidados'!$E$3:$BM$303,H$2,FALSE),"")</f>
        <v>1.11408359041301</v>
      </c>
      <c r="I11" s="29">
        <f>IFERROR(VLOOKUP($A11,'Arranjos Consolidados'!$E$3:$BM$303,I$2,FALSE),"")</f>
        <v>30</v>
      </c>
      <c r="J11" s="31">
        <f>IFERROR(VLOOKUP($A11,'Arranjos Consolidados'!$E$3:$BM$303,J$2,FALSE),"")</f>
        <v>127.24841438742824</v>
      </c>
      <c r="K11" s="31">
        <f>IFERROR(VLOOKUP($A11,'Arranjos Consolidados'!$E$3:$BM$303,K$2,FALSE),"")</f>
        <v>25.446692328169426</v>
      </c>
      <c r="L11" s="31">
        <f>IFERROR(VLOOKUP($A11,'Arranjos Consolidados'!$E$3:$BM$303,L$2,FALSE),"")</f>
        <v>25.739401664939734</v>
      </c>
      <c r="M11" s="31">
        <f>IFERROR(VLOOKUP($A11,'Arranjos Consolidados'!$E$3:$BM$303,M$2,FALSE),"")</f>
        <v>4.4070254092729417</v>
      </c>
      <c r="N11" s="31">
        <f>IFERROR(VLOOKUP($A11,'Arranjos Consolidados'!$E$3:$BM$303,N$2,FALSE),"")</f>
        <v>9.966071104900097</v>
      </c>
      <c r="O11" s="31">
        <f>IFERROR(VLOOKUP($A11,'Arranjos Consolidados'!$E$3:$BM$303,O$2,FALSE),"")</f>
        <v>11.366305150766697</v>
      </c>
      <c r="P11" s="31">
        <f>IFERROR(VLOOKUP($A11,'Arranjos Consolidados'!$E$3:$BM$303,P$2,FALSE),"")</f>
        <v>2.4433747771416128</v>
      </c>
      <c r="Q11" s="31">
        <f>IFERROR(VLOOKUP($A11,'Arranjos Consolidados'!$E$3:$BM$303,Q$2,FALSE),"")</f>
        <v>4.3014208046851543</v>
      </c>
      <c r="R11" s="31">
        <f>IFERROR(VLOOKUP($A11,'Arranjos Consolidados'!$E$3:$BM$303,R$2,FALSE),"")</f>
        <v>4.6215095689399295</v>
      </c>
      <c r="S11" s="31">
        <f>IFERROR(VLOOKUP($A11,'Arranjos Consolidados'!$E$3:$BM$303,S$2,FALSE),"")</f>
        <v>0</v>
      </c>
      <c r="T11" s="31">
        <f>IFERROR(VLOOKUP($A11,'Arranjos Consolidados'!$E$3:$BM$303,T$2,FALSE),"")</f>
        <v>0</v>
      </c>
      <c r="U11" s="31">
        <f>IFERROR(VLOOKUP($A11,'Arranjos Consolidados'!$E$3:$BM$303,U$2,FALSE),"")</f>
        <v>781.41992120573877</v>
      </c>
      <c r="V11" s="31">
        <f>IFERROR(VLOOKUP($A11,'Arranjos Consolidados'!$E$3:$BM$303,V$2,FALSE),"")</f>
        <v>0</v>
      </c>
      <c r="W11" s="31">
        <f>IFERROR(VLOOKUP($A11,'Arranjos Consolidados'!$E$3:$BM$303,W$2,FALSE),"")</f>
        <v>832.84489185317307</v>
      </c>
      <c r="X11" s="29">
        <f>IFERROR(VLOOKUP($A11,'Arranjos Consolidados'!$E$3:$BM$303,X$2,FALSE),"")</f>
        <v>0</v>
      </c>
      <c r="Y11" s="31">
        <f>IFERROR(VLOOKUP($A11,'Arranjos Consolidados'!$E$3:$BM$303,Y$2,FALSE),"")</f>
        <v>526.40523994961814</v>
      </c>
      <c r="Z11" s="29">
        <f>IFERROR(VLOOKUP($A11,'Arranjos Consolidados'!$E$3:$BM$303,Z$2,FALSE),"")</f>
        <v>8.7778784215446954</v>
      </c>
      <c r="AA11" s="31">
        <f>IFERROR(VLOOKUP($A11,'Arranjos Consolidados'!$E$3:$BM$303,AA$2,FALSE),"")</f>
        <v>297.66177348201023</v>
      </c>
      <c r="AB11" s="31">
        <f>IFERROR(VLOOKUP($A11,'Arranjos Consolidados'!$E$3:$BM$303,AB$2,FALSE),"")</f>
        <v>205.75816622440846</v>
      </c>
      <c r="AC11" s="31">
        <f>IFERROR(VLOOKUP($A11,'Arranjos Consolidados'!$E$3:$BM$303,AC$2,FALSE),"")</f>
        <v>-9.3885973300270198</v>
      </c>
      <c r="AD11" s="31">
        <f>IFERROR(VLOOKUP($A11,'Arranjos Consolidados'!$E$3:$BM$303,AD$2,FALSE),"")</f>
        <v>47.122658807557997</v>
      </c>
      <c r="AE11" s="31">
        <f>IFERROR(VLOOKUP($A11,'Arranjos Consolidados'!$E$3:$BM$303,AE$2,FALSE),"")</f>
        <v>101.73554832645634</v>
      </c>
      <c r="AF11" s="31">
        <f>IFERROR(VLOOKUP($A11,'Arranjos Consolidados'!$E$3:$BM$303,AF$2,FALSE),"")</f>
        <v>0</v>
      </c>
      <c r="AG11" s="31">
        <f>IFERROR(VLOOKUP($A11,'Arranjos Consolidados'!$E$3:$BM$303,AG$2,FALSE),"")</f>
        <v>101.46076875000001</v>
      </c>
      <c r="AH11" s="31">
        <f>IFERROR(VLOOKUP($A11,'Arranjos Consolidados'!$E$3:$BM$303,AH$2,FALSE),"")</f>
        <v>0</v>
      </c>
      <c r="AI11" s="31">
        <f>IFERROR(VLOOKUP($A11,'Arranjos Consolidados'!$E$3:$BM$303,AI$2,FALSE),"")</f>
        <v>-54.529677379578835</v>
      </c>
      <c r="AJ11" s="31">
        <f>IFERROR(VLOOKUP($A11,'Arranjos Consolidados'!$E$3:$BM$303,AJ$2,FALSE),"")</f>
        <v>0</v>
      </c>
      <c r="AK11" s="31">
        <f>IFERROR(VLOOKUP($A11,'Arranjos Consolidados'!$E$3:$BM$303,AK$2,FALSE),"")</f>
        <v>19.357465049999998</v>
      </c>
      <c r="AL11" s="34">
        <f>IFERROR(VLOOKUP($A11,'Arranjos Consolidados'!$E$3:$BM$303,AL$2,FALSE),"")</f>
        <v>0.69185800860864466</v>
      </c>
      <c r="AM11" s="31">
        <f>IFERROR(VLOOKUP($A11,'Arranjos Consolidados'!$E$3:$BM$303,AM$2,FALSE),"")</f>
        <v>627.08672562876473</v>
      </c>
      <c r="AN11" s="31">
        <f>IFERROR(VLOOKUP($A11,'Arranjos Consolidados'!$E$3:$BM$303,AN$2,FALSE),"")</f>
        <v>0</v>
      </c>
      <c r="AO11" s="31">
        <f>IFERROR(VLOOKUP($A11,'Arranjos Consolidados'!$E$3:$BM$303,AO$2,FALSE),"")</f>
        <v>0</v>
      </c>
      <c r="AP11" s="31">
        <f>IFERROR(VLOOKUP($A11,'Arranjos Consolidados'!$E$3:$BM$303,AP$2,FALSE),"")</f>
        <v>0</v>
      </c>
      <c r="AQ11" s="31">
        <f>IFERROR(VLOOKUP($A11,'Arranjos Consolidados'!$E$3:$BM$303,AQ$2,FALSE),"")</f>
        <v>0</v>
      </c>
      <c r="AR11" s="31">
        <f>IFERROR(VLOOKUP($A11,'Arranjos Consolidados'!$E$3:$BM$303,AR$2,FALSE),"")</f>
        <v>0</v>
      </c>
      <c r="AS11" s="31">
        <f>IFERROR(VLOOKUP($A11,'Arranjos Consolidados'!$E$3:$BM$303,AS$2,FALSE),"")</f>
        <v>586.54175128826967</v>
      </c>
      <c r="AT11" s="31">
        <f>IFERROR(VLOOKUP($A11,'Arranjos Consolidados'!$E$3:$BM$303,AT$2,FALSE),"")</f>
        <v>114.78780897275051</v>
      </c>
      <c r="AU11" s="31">
        <f>IFERROR(VLOOKUP($A11,'Arranjos Consolidados'!$E$3:$BM$303,AU$2,FALSE),"")</f>
        <v>114.78780897275051</v>
      </c>
      <c r="AV11" s="31">
        <f>IFERROR(VLOOKUP($A11,'Arranjos Consolidados'!$E$3:$BM$303,AV$2,FALSE),"")</f>
        <v>0</v>
      </c>
      <c r="AW11" s="31">
        <f>IFERROR(VLOOKUP($A11,'Arranjos Consolidados'!$E$3:$BM$303,AW$2,FALSE),"")</f>
        <v>0</v>
      </c>
      <c r="AX11" s="31">
        <f>IFERROR(VLOOKUP($A11,'Arranjos Consolidados'!$E$3:$BM$303,AX$2,FALSE),"")</f>
        <v>338.03382443662719</v>
      </c>
      <c r="AY11" s="31">
        <f>IFERROR(VLOOKUP($A11,'Arranjos Consolidados'!$E$3:$BM$303,AY$2,FALSE),"")</f>
        <v>76.930878417473053</v>
      </c>
      <c r="AZ11" s="31">
        <f>IFERROR(VLOOKUP($A11,'Arranjos Consolidados'!$E$3:$BM$303,AZ$2,FALSE),"")</f>
        <v>108.79289417464757</v>
      </c>
      <c r="BA11" s="31">
        <f>IFERROR(VLOOKUP($A11,'Arranjos Consolidados'!$E$3:$BM$303,BA$2,FALSE),"")</f>
        <v>152.31005184450657</v>
      </c>
      <c r="BB11" s="31">
        <f>IFERROR(VLOOKUP($A11,'Arranjos Consolidados'!$E$3:$BM$303,BB$2,FALSE),"")</f>
        <v>0</v>
      </c>
      <c r="BC11" s="31">
        <f>IFERROR(VLOOKUP($A11,'Arranjos Consolidados'!$E$3:$BM$303,BC$2,FALSE),"")</f>
        <v>133.7201178788919</v>
      </c>
      <c r="BD11" s="31">
        <f>IFERROR(VLOOKUP($A11,'Arranjos Consolidados'!$E$3:$BM$303,BD$2,FALSE),"")</f>
        <v>46.402721603321609</v>
      </c>
      <c r="BE11" s="31">
        <f>IFERROR(VLOOKUP($A11,'Arranjos Consolidados'!$E$3:$BM$303,BE$2,FALSE),"")</f>
        <v>1.4723613094253216</v>
      </c>
      <c r="BF11" s="31">
        <f>IFERROR(VLOOKUP($A11,'Arranjos Consolidados'!$E$3:$BM$303,BF$2,FALSE),"")</f>
        <v>85.845034966144979</v>
      </c>
      <c r="BG11" s="31">
        <f>IFERROR(VLOOKUP($A11,'Arranjos Consolidados'!$E$3:$BM$303,BG$2,FALSE),"")</f>
        <v>0</v>
      </c>
      <c r="BH11" s="31">
        <f>IFERROR(VLOOKUP($A11,'Arranjos Consolidados'!$E$3:$BM$303,BH$2,FALSE),"")</f>
        <v>586.54175128826967</v>
      </c>
      <c r="BI11" s="31">
        <f>IFERROR(VLOOKUP($A11,'Arranjos Consolidados'!$E$3:$BM$303,BI$2,FALSE),"")</f>
        <v>792.29991751267801</v>
      </c>
      <c r="BJ11" s="34">
        <f>IFERROR(VLOOKUP($A11,'Arranjos Consolidados'!$E$3:$BM$303,BJ$2,FALSE),"")</f>
        <v>2.3329203344992533</v>
      </c>
      <c r="BK11" s="34">
        <f>IFERROR(VLOOKUP($A11,'Arranjos Consolidados'!$E$3:$BM$303,BK$2,FALSE),"")</f>
        <v>1.11408359041301</v>
      </c>
    </row>
    <row r="12" spans="1:63" ht="16.5" x14ac:dyDescent="0.25">
      <c r="A12" s="24" t="s">
        <v>10012</v>
      </c>
      <c r="B12" s="32">
        <f>'Banco de Dados'!$I$29</f>
        <v>300</v>
      </c>
      <c r="C12" s="25">
        <f>'Banco de Dados'!$I$30/100</f>
        <v>0.42499999999999999</v>
      </c>
      <c r="D12" s="29">
        <f>IFERROR(VLOOKUP($A12,'Arranjos Consolidados'!$E$3:$BM$303,D$2,FALSE),"")</f>
        <v>73378</v>
      </c>
      <c r="E12" s="33">
        <f>IFERROR(VLOOKUP($A12,'Arranjos Consolidados'!$E$3:$BM$303,E$2,FALSE),"")</f>
        <v>0.89712768972223778</v>
      </c>
      <c r="F12" s="29">
        <f>IFERROR(VLOOKUP($A12,'Arranjos Consolidados'!$E$3:$BM$303,F$2,FALSE),"")</f>
        <v>200</v>
      </c>
      <c r="G12" s="31">
        <f>IFERROR(VLOOKUP($A12,'Arranjos Consolidados'!$E$3:$BM$303,G$2,FALSE),"")</f>
        <v>681.49867208714284</v>
      </c>
      <c r="H12" s="34">
        <f>IFERROR(VLOOKUP($A12,'Arranjos Consolidados'!$E$3:$BM$303,H$2,FALSE),"")</f>
        <v>1.4226194092175497</v>
      </c>
      <c r="I12" s="29">
        <f>IFERROR(VLOOKUP($A12,'Arranjos Consolidados'!$E$3:$BM$303,I$2,FALSE),"")</f>
        <v>30</v>
      </c>
      <c r="J12" s="31">
        <f>IFERROR(VLOOKUP($A12,'Arranjos Consolidados'!$E$3:$BM$303,J$2,FALSE),"")</f>
        <v>55.852699413841925</v>
      </c>
      <c r="K12" s="31">
        <f>IFERROR(VLOOKUP($A12,'Arranjos Consolidados'!$E$3:$BM$303,K$2,FALSE),"")</f>
        <v>12.970604400316054</v>
      </c>
      <c r="L12" s="31">
        <f>IFERROR(VLOOKUP($A12,'Arranjos Consolidados'!$E$3:$BM$303,L$2,FALSE),"")</f>
        <v>25.739401664939734</v>
      </c>
      <c r="M12" s="31">
        <f>IFERROR(VLOOKUP($A12,'Arranjos Consolidados'!$E$3:$BM$303,M$2,FALSE),"")</f>
        <v>18.81034839829945</v>
      </c>
      <c r="N12" s="31">
        <f>IFERROR(VLOOKUP($A12,'Arranjos Consolidados'!$E$3:$BM$303,N$2,FALSE),"")</f>
        <v>4.7373368764321588</v>
      </c>
      <c r="O12" s="31">
        <f>IFERROR(VLOOKUP($A12,'Arranjos Consolidados'!$E$3:$BM$303,O$2,FALSE),"")</f>
        <v>2.1917163902081285</v>
      </c>
      <c r="P12" s="31">
        <f>IFERROR(VLOOKUP($A12,'Arranjos Consolidados'!$E$3:$BM$303,P$2,FALSE),"")</f>
        <v>2.1917163902081285</v>
      </c>
      <c r="Q12" s="31">
        <f>IFERROR(VLOOKUP($A12,'Arranjos Consolidados'!$E$3:$BM$303,Q$2,FALSE),"")</f>
        <v>0</v>
      </c>
      <c r="R12" s="31">
        <f>IFERROR(VLOOKUP($A12,'Arranjos Consolidados'!$E$3:$BM$303,R$2,FALSE),"")</f>
        <v>0</v>
      </c>
      <c r="S12" s="31">
        <f>IFERROR(VLOOKUP($A12,'Arranjos Consolidados'!$E$3:$BM$303,S$2,FALSE),"")</f>
        <v>16320.554457048042</v>
      </c>
      <c r="T12" s="31">
        <f>IFERROR(VLOOKUP($A12,'Arranjos Consolidados'!$E$3:$BM$303,T$2,FALSE),"")</f>
        <v>0</v>
      </c>
      <c r="U12" s="31">
        <f>IFERROR(VLOOKUP($A12,'Arranjos Consolidados'!$E$3:$BM$303,U$2,FALSE),"")</f>
        <v>0</v>
      </c>
      <c r="V12" s="31">
        <f>IFERROR(VLOOKUP($A12,'Arranjos Consolidados'!$E$3:$BM$303,V$2,FALSE),"")</f>
        <v>0</v>
      </c>
      <c r="W12" s="31">
        <f>IFERROR(VLOOKUP($A12,'Arranjos Consolidados'!$E$3:$BM$303,W$2,FALSE),"")</f>
        <v>1213.4112104221485</v>
      </c>
      <c r="X12" s="29">
        <f>IFERROR(VLOOKUP($A12,'Arranjos Consolidados'!$E$3:$BM$303,X$2,FALSE),"")</f>
        <v>0</v>
      </c>
      <c r="Y12" s="31">
        <f>IFERROR(VLOOKUP($A12,'Arranjos Consolidados'!$E$3:$BM$303,Y$2,FALSE),"")</f>
        <v>596.15300000000002</v>
      </c>
      <c r="Z12" s="29">
        <f>IFERROR(VLOOKUP($A12,'Arranjos Consolidados'!$E$3:$BM$303,Z$2,FALSE),"")</f>
        <v>0</v>
      </c>
      <c r="AA12" s="31">
        <f>IFERROR(VLOOKUP($A12,'Arranjos Consolidados'!$E$3:$BM$303,AA$2,FALSE),"")</f>
        <v>617.25821042214864</v>
      </c>
      <c r="AB12" s="31">
        <f>IFERROR(VLOOKUP($A12,'Arranjos Consolidados'!$E$3:$BM$303,AB$2,FALSE),"")</f>
        <v>531.91253833500559</v>
      </c>
      <c r="AC12" s="31">
        <f>IFERROR(VLOOKUP($A12,'Arranjos Consolidados'!$E$3:$BM$303,AC$2,FALSE),"")</f>
        <v>10.009211653494059</v>
      </c>
      <c r="AD12" s="31">
        <f>IFERROR(VLOOKUP($A12,'Arranjos Consolidados'!$E$3:$BM$303,AD$2,FALSE),"")</f>
        <v>0</v>
      </c>
      <c r="AE12" s="31">
        <f>IFERROR(VLOOKUP($A12,'Arranjos Consolidados'!$E$3:$BM$303,AE$2,FALSE),"")</f>
        <v>0</v>
      </c>
      <c r="AF12" s="31">
        <f>IFERROR(VLOOKUP($A12,'Arranjos Consolidados'!$E$3:$BM$303,AF$2,FALSE),"")</f>
        <v>398.90296845206899</v>
      </c>
      <c r="AG12" s="31">
        <f>IFERROR(VLOOKUP($A12,'Arranjos Consolidados'!$E$3:$BM$303,AG$2,FALSE),"")</f>
        <v>123.00035822944253</v>
      </c>
      <c r="AH12" s="31">
        <f>IFERROR(VLOOKUP($A12,'Arranjos Consolidados'!$E$3:$BM$303,AH$2,FALSE),"")</f>
        <v>0</v>
      </c>
      <c r="AI12" s="31">
        <f>IFERROR(VLOOKUP($A12,'Arranjos Consolidados'!$E$3:$BM$303,AI$2,FALSE),"")</f>
        <v>0</v>
      </c>
      <c r="AJ12" s="31">
        <f>IFERROR(VLOOKUP($A12,'Arranjos Consolidados'!$E$3:$BM$303,AJ$2,FALSE),"")</f>
        <v>0</v>
      </c>
      <c r="AK12" s="31">
        <f>IFERROR(VLOOKUP($A12,'Arranjos Consolidados'!$E$3:$BM$303,AK$2,FALSE),"")</f>
        <v>0</v>
      </c>
      <c r="AL12" s="34">
        <f>IFERROR(VLOOKUP($A12,'Arranjos Consolidados'!$E$3:$BM$303,AL$2,FALSE),"")</f>
        <v>0.86173424565908274</v>
      </c>
      <c r="AM12" s="31">
        <f>IFERROR(VLOOKUP($A12,'Arranjos Consolidados'!$E$3:$BM$303,AM$2,FALSE),"")</f>
        <v>681.49867208714284</v>
      </c>
      <c r="AN12" s="31">
        <f>IFERROR(VLOOKUP($A12,'Arranjos Consolidados'!$E$3:$BM$303,AN$2,FALSE),"")</f>
        <v>408.9121801055631</v>
      </c>
      <c r="AO12" s="31">
        <f>IFERROR(VLOOKUP($A12,'Arranjos Consolidados'!$E$3:$BM$303,AO$2,FALSE),"")</f>
        <v>10.009211653494059</v>
      </c>
      <c r="AP12" s="31">
        <f>IFERROR(VLOOKUP($A12,'Arranjos Consolidados'!$E$3:$BM$303,AP$2,FALSE),"")</f>
        <v>0</v>
      </c>
      <c r="AQ12" s="31">
        <f>IFERROR(VLOOKUP($A12,'Arranjos Consolidados'!$E$3:$BM$303,AQ$2,FALSE),"")</f>
        <v>0</v>
      </c>
      <c r="AR12" s="31">
        <f>IFERROR(VLOOKUP($A12,'Arranjos Consolidados'!$E$3:$BM$303,AR$2,FALSE),"")</f>
        <v>398.90296845206899</v>
      </c>
      <c r="AS12" s="31">
        <f>IFERROR(VLOOKUP($A12,'Arranjos Consolidados'!$E$3:$BM$303,AS$2,FALSE),"")</f>
        <v>445.94673024873606</v>
      </c>
      <c r="AT12" s="31">
        <f>IFERROR(VLOOKUP($A12,'Arranjos Consolidados'!$E$3:$BM$303,AT$2,FALSE),"")</f>
        <v>81.594999999999999</v>
      </c>
      <c r="AU12" s="31">
        <f>IFERROR(VLOOKUP($A12,'Arranjos Consolidados'!$E$3:$BM$303,AU$2,FALSE),"")</f>
        <v>81.594999999999999</v>
      </c>
      <c r="AV12" s="31">
        <f>IFERROR(VLOOKUP($A12,'Arranjos Consolidados'!$E$3:$BM$303,AV$2,FALSE),"")</f>
        <v>0</v>
      </c>
      <c r="AW12" s="31">
        <f>IFERROR(VLOOKUP($A12,'Arranjos Consolidados'!$E$3:$BM$303,AW$2,FALSE),"")</f>
        <v>0</v>
      </c>
      <c r="AX12" s="31">
        <f>IFERROR(VLOOKUP($A12,'Arranjos Consolidados'!$E$3:$BM$303,AX$2,FALSE),"")</f>
        <v>248.12748545234274</v>
      </c>
      <c r="AY12" s="31">
        <f>IFERROR(VLOOKUP($A12,'Arranjos Consolidados'!$E$3:$BM$303,AY$2,FALSE),"")</f>
        <v>82.718698010625403</v>
      </c>
      <c r="AZ12" s="31">
        <f>IFERROR(VLOOKUP($A12,'Arranjos Consolidados'!$E$3:$BM$303,AZ$2,FALSE),"")</f>
        <v>68.920328100715565</v>
      </c>
      <c r="BA12" s="31">
        <f>IFERROR(VLOOKUP($A12,'Arranjos Consolidados'!$E$3:$BM$303,BA$2,FALSE),"")</f>
        <v>96.488459341001786</v>
      </c>
      <c r="BB12" s="31">
        <f>IFERROR(VLOOKUP($A12,'Arranjos Consolidados'!$E$3:$BM$303,BB$2,FALSE),"")</f>
        <v>0</v>
      </c>
      <c r="BC12" s="31">
        <f>IFERROR(VLOOKUP($A12,'Arranjos Consolidados'!$E$3:$BM$303,BC$2,FALSE),"")</f>
        <v>116.22424479639334</v>
      </c>
      <c r="BD12" s="31">
        <f>IFERROR(VLOOKUP($A12,'Arranjos Consolidados'!$E$3:$BM$303,BD$2,FALSE),"")</f>
        <v>40.224951515829275</v>
      </c>
      <c r="BE12" s="31">
        <f>IFERROR(VLOOKUP($A12,'Arranjos Consolidados'!$E$3:$BM$303,BE$2,FALSE),"")</f>
        <v>1.583132976279912</v>
      </c>
      <c r="BF12" s="31">
        <f>IFERROR(VLOOKUP($A12,'Arranjos Consolidados'!$E$3:$BM$303,BF$2,FALSE),"")</f>
        <v>74.416160304284162</v>
      </c>
      <c r="BG12" s="31">
        <f>IFERROR(VLOOKUP($A12,'Arranjos Consolidados'!$E$3:$BM$303,BG$2,FALSE),"")</f>
        <v>0</v>
      </c>
      <c r="BH12" s="31">
        <f>IFERROR(VLOOKUP($A12,'Arranjos Consolidados'!$E$3:$BM$303,BH$2,FALSE),"")</f>
        <v>854.85891035429904</v>
      </c>
      <c r="BI12" s="31">
        <f>IFERROR(VLOOKUP($A12,'Arranjos Consolidados'!$E$3:$BM$303,BI$2,FALSE),"")</f>
        <v>1386.7714486893044</v>
      </c>
      <c r="BJ12" s="34">
        <f>IFERROR(VLOOKUP($A12,'Arranjos Consolidados'!$E$3:$BM$303,BJ$2,FALSE),"")</f>
        <v>1.570676941832976</v>
      </c>
      <c r="BK12" s="34">
        <f>IFERROR(VLOOKUP($A12,'Arranjos Consolidados'!$E$3:$BM$303,BK$2,FALSE),"")</f>
        <v>1.4226194092175497</v>
      </c>
    </row>
    <row r="13" spans="1:63" ht="16.5" x14ac:dyDescent="0.25">
      <c r="A13" s="24" t="s">
        <v>10658</v>
      </c>
      <c r="B13" s="32">
        <f>'Banco de Dados'!$I$29</f>
        <v>300</v>
      </c>
      <c r="C13" s="25">
        <f>'Banco de Dados'!$I$30/100</f>
        <v>0.42499999999999999</v>
      </c>
      <c r="D13" s="29">
        <f>IFERROR(VLOOKUP($A13,'Arranjos Consolidados'!$E$3:$BM$303,D$2,FALSE),"")</f>
        <v>73378</v>
      </c>
      <c r="E13" s="33">
        <f>IFERROR(VLOOKUP($A13,'Arranjos Consolidados'!$E$3:$BM$303,E$2,FALSE),"")</f>
        <v>0.89712768972223778</v>
      </c>
      <c r="F13" s="29">
        <f>IFERROR(VLOOKUP($A13,'Arranjos Consolidados'!$E$3:$BM$303,F$2,FALSE),"")</f>
        <v>200</v>
      </c>
      <c r="G13" s="31">
        <f>IFERROR(VLOOKUP($A13,'Arranjos Consolidados'!$E$3:$BM$303,G$2,FALSE),"")</f>
        <v>681.49867208714284</v>
      </c>
      <c r="H13" s="34">
        <f>IFERROR(VLOOKUP($A13,'Arranjos Consolidados'!$E$3:$BM$303,H$2,FALSE),"")</f>
        <v>1.4226194092175497</v>
      </c>
      <c r="I13" s="29">
        <f>IFERROR(VLOOKUP($A13,'Arranjos Consolidados'!$E$3:$BM$303,I$2,FALSE),"")</f>
        <v>30</v>
      </c>
      <c r="J13" s="31">
        <f>IFERROR(VLOOKUP($A13,'Arranjos Consolidados'!$E$3:$BM$303,J$2,FALSE),"")</f>
        <v>55.852699413841925</v>
      </c>
      <c r="K13" s="31">
        <f>IFERROR(VLOOKUP($A13,'Arranjos Consolidados'!$E$3:$BM$303,K$2,FALSE),"")</f>
        <v>12.970604400316054</v>
      </c>
      <c r="L13" s="31">
        <f>IFERROR(VLOOKUP($A13,'Arranjos Consolidados'!$E$3:$BM$303,L$2,FALSE),"")</f>
        <v>25.739401664939734</v>
      </c>
      <c r="M13" s="31">
        <f>IFERROR(VLOOKUP($A13,'Arranjos Consolidados'!$E$3:$BM$303,M$2,FALSE),"")</f>
        <v>18.81034839829945</v>
      </c>
      <c r="N13" s="31">
        <f>IFERROR(VLOOKUP($A13,'Arranjos Consolidados'!$E$3:$BM$303,N$2,FALSE),"")</f>
        <v>4.7373368764321588</v>
      </c>
      <c r="O13" s="31">
        <f>IFERROR(VLOOKUP($A13,'Arranjos Consolidados'!$E$3:$BM$303,O$2,FALSE),"")</f>
        <v>2.1917163902081285</v>
      </c>
      <c r="P13" s="31">
        <f>IFERROR(VLOOKUP($A13,'Arranjos Consolidados'!$E$3:$BM$303,P$2,FALSE),"")</f>
        <v>2.1917163902081285</v>
      </c>
      <c r="Q13" s="31">
        <f>IFERROR(VLOOKUP($A13,'Arranjos Consolidados'!$E$3:$BM$303,Q$2,FALSE),"")</f>
        <v>0</v>
      </c>
      <c r="R13" s="31">
        <f>IFERROR(VLOOKUP($A13,'Arranjos Consolidados'!$E$3:$BM$303,R$2,FALSE),"")</f>
        <v>0</v>
      </c>
      <c r="S13" s="31">
        <f>IFERROR(VLOOKUP($A13,'Arranjos Consolidados'!$E$3:$BM$303,S$2,FALSE),"")</f>
        <v>16320.554457048042</v>
      </c>
      <c r="T13" s="31">
        <f>IFERROR(VLOOKUP($A13,'Arranjos Consolidados'!$E$3:$BM$303,T$2,FALSE),"")</f>
        <v>0</v>
      </c>
      <c r="U13" s="31">
        <f>IFERROR(VLOOKUP($A13,'Arranjos Consolidados'!$E$3:$BM$303,U$2,FALSE),"")</f>
        <v>0</v>
      </c>
      <c r="V13" s="31">
        <f>IFERROR(VLOOKUP($A13,'Arranjos Consolidados'!$E$3:$BM$303,V$2,FALSE),"")</f>
        <v>0</v>
      </c>
      <c r="W13" s="31">
        <f>IFERROR(VLOOKUP($A13,'Arranjos Consolidados'!$E$3:$BM$303,W$2,FALSE),"")</f>
        <v>1213.4112104221485</v>
      </c>
      <c r="X13" s="29">
        <f>IFERROR(VLOOKUP($A13,'Arranjos Consolidados'!$E$3:$BM$303,X$2,FALSE),"")</f>
        <v>0</v>
      </c>
      <c r="Y13" s="31">
        <f>IFERROR(VLOOKUP($A13,'Arranjos Consolidados'!$E$3:$BM$303,Y$2,FALSE),"")</f>
        <v>596.15300000000002</v>
      </c>
      <c r="Z13" s="29">
        <f>IFERROR(VLOOKUP($A13,'Arranjos Consolidados'!$E$3:$BM$303,Z$2,FALSE),"")</f>
        <v>0</v>
      </c>
      <c r="AA13" s="31">
        <f>IFERROR(VLOOKUP($A13,'Arranjos Consolidados'!$E$3:$BM$303,AA$2,FALSE),"")</f>
        <v>617.25821042214864</v>
      </c>
      <c r="AB13" s="31">
        <f>IFERROR(VLOOKUP($A13,'Arranjos Consolidados'!$E$3:$BM$303,AB$2,FALSE),"")</f>
        <v>531.91253833500559</v>
      </c>
      <c r="AC13" s="31">
        <f>IFERROR(VLOOKUP($A13,'Arranjos Consolidados'!$E$3:$BM$303,AC$2,FALSE),"")</f>
        <v>10.009211653494059</v>
      </c>
      <c r="AD13" s="31">
        <f>IFERROR(VLOOKUP($A13,'Arranjos Consolidados'!$E$3:$BM$303,AD$2,FALSE),"")</f>
        <v>0</v>
      </c>
      <c r="AE13" s="31">
        <f>IFERROR(VLOOKUP($A13,'Arranjos Consolidados'!$E$3:$BM$303,AE$2,FALSE),"")</f>
        <v>0</v>
      </c>
      <c r="AF13" s="31">
        <f>IFERROR(VLOOKUP($A13,'Arranjos Consolidados'!$E$3:$BM$303,AF$2,FALSE),"")</f>
        <v>398.90296845206899</v>
      </c>
      <c r="AG13" s="31">
        <f>IFERROR(VLOOKUP($A13,'Arranjos Consolidados'!$E$3:$BM$303,AG$2,FALSE),"")</f>
        <v>123.00035822944253</v>
      </c>
      <c r="AH13" s="31">
        <f>IFERROR(VLOOKUP($A13,'Arranjos Consolidados'!$E$3:$BM$303,AH$2,FALSE),"")</f>
        <v>0</v>
      </c>
      <c r="AI13" s="31">
        <f>IFERROR(VLOOKUP($A13,'Arranjos Consolidados'!$E$3:$BM$303,AI$2,FALSE),"")</f>
        <v>0</v>
      </c>
      <c r="AJ13" s="31">
        <f>IFERROR(VLOOKUP($A13,'Arranjos Consolidados'!$E$3:$BM$303,AJ$2,FALSE),"")</f>
        <v>0</v>
      </c>
      <c r="AK13" s="31">
        <f>IFERROR(VLOOKUP($A13,'Arranjos Consolidados'!$E$3:$BM$303,AK$2,FALSE),"")</f>
        <v>0</v>
      </c>
      <c r="AL13" s="34">
        <f>IFERROR(VLOOKUP($A13,'Arranjos Consolidados'!$E$3:$BM$303,AL$2,FALSE),"")</f>
        <v>0.86173424565908274</v>
      </c>
      <c r="AM13" s="31">
        <f>IFERROR(VLOOKUP($A13,'Arranjos Consolidados'!$E$3:$BM$303,AM$2,FALSE),"")</f>
        <v>681.49867208714284</v>
      </c>
      <c r="AN13" s="31">
        <f>IFERROR(VLOOKUP($A13,'Arranjos Consolidados'!$E$3:$BM$303,AN$2,FALSE),"")</f>
        <v>408.9121801055631</v>
      </c>
      <c r="AO13" s="31">
        <f>IFERROR(VLOOKUP($A13,'Arranjos Consolidados'!$E$3:$BM$303,AO$2,FALSE),"")</f>
        <v>10.009211653494059</v>
      </c>
      <c r="AP13" s="31">
        <f>IFERROR(VLOOKUP($A13,'Arranjos Consolidados'!$E$3:$BM$303,AP$2,FALSE),"")</f>
        <v>0</v>
      </c>
      <c r="AQ13" s="31">
        <f>IFERROR(VLOOKUP($A13,'Arranjos Consolidados'!$E$3:$BM$303,AQ$2,FALSE),"")</f>
        <v>0</v>
      </c>
      <c r="AR13" s="31">
        <f>IFERROR(VLOOKUP($A13,'Arranjos Consolidados'!$E$3:$BM$303,AR$2,FALSE),"")</f>
        <v>398.90296845206899</v>
      </c>
      <c r="AS13" s="31">
        <f>IFERROR(VLOOKUP($A13,'Arranjos Consolidados'!$E$3:$BM$303,AS$2,FALSE),"")</f>
        <v>445.94673024873606</v>
      </c>
      <c r="AT13" s="31">
        <f>IFERROR(VLOOKUP($A13,'Arranjos Consolidados'!$E$3:$BM$303,AT$2,FALSE),"")</f>
        <v>81.594999999999999</v>
      </c>
      <c r="AU13" s="31">
        <f>IFERROR(VLOOKUP($A13,'Arranjos Consolidados'!$E$3:$BM$303,AU$2,FALSE),"")</f>
        <v>81.594999999999999</v>
      </c>
      <c r="AV13" s="31">
        <f>IFERROR(VLOOKUP($A13,'Arranjos Consolidados'!$E$3:$BM$303,AV$2,FALSE),"")</f>
        <v>0</v>
      </c>
      <c r="AW13" s="31">
        <f>IFERROR(VLOOKUP($A13,'Arranjos Consolidados'!$E$3:$BM$303,AW$2,FALSE),"")</f>
        <v>0</v>
      </c>
      <c r="AX13" s="31">
        <f>IFERROR(VLOOKUP($A13,'Arranjos Consolidados'!$E$3:$BM$303,AX$2,FALSE),"")</f>
        <v>248.12748545234274</v>
      </c>
      <c r="AY13" s="31">
        <f>IFERROR(VLOOKUP($A13,'Arranjos Consolidados'!$E$3:$BM$303,AY$2,FALSE),"")</f>
        <v>82.718698010625403</v>
      </c>
      <c r="AZ13" s="31">
        <f>IFERROR(VLOOKUP($A13,'Arranjos Consolidados'!$E$3:$BM$303,AZ$2,FALSE),"")</f>
        <v>68.920328100715565</v>
      </c>
      <c r="BA13" s="31">
        <f>IFERROR(VLOOKUP($A13,'Arranjos Consolidados'!$E$3:$BM$303,BA$2,FALSE),"")</f>
        <v>96.488459341001786</v>
      </c>
      <c r="BB13" s="31">
        <f>IFERROR(VLOOKUP($A13,'Arranjos Consolidados'!$E$3:$BM$303,BB$2,FALSE),"")</f>
        <v>0</v>
      </c>
      <c r="BC13" s="31">
        <f>IFERROR(VLOOKUP($A13,'Arranjos Consolidados'!$E$3:$BM$303,BC$2,FALSE),"")</f>
        <v>116.22424479639334</v>
      </c>
      <c r="BD13" s="31">
        <f>IFERROR(VLOOKUP($A13,'Arranjos Consolidados'!$E$3:$BM$303,BD$2,FALSE),"")</f>
        <v>40.224951515829275</v>
      </c>
      <c r="BE13" s="31">
        <f>IFERROR(VLOOKUP($A13,'Arranjos Consolidados'!$E$3:$BM$303,BE$2,FALSE),"")</f>
        <v>1.583132976279912</v>
      </c>
      <c r="BF13" s="31">
        <f>IFERROR(VLOOKUP($A13,'Arranjos Consolidados'!$E$3:$BM$303,BF$2,FALSE),"")</f>
        <v>74.416160304284162</v>
      </c>
      <c r="BG13" s="31">
        <f>IFERROR(VLOOKUP($A13,'Arranjos Consolidados'!$E$3:$BM$303,BG$2,FALSE),"")</f>
        <v>0</v>
      </c>
      <c r="BH13" s="31">
        <f>IFERROR(VLOOKUP($A13,'Arranjos Consolidados'!$E$3:$BM$303,BH$2,FALSE),"")</f>
        <v>854.85891035429904</v>
      </c>
      <c r="BI13" s="31">
        <f>IFERROR(VLOOKUP($A13,'Arranjos Consolidados'!$E$3:$BM$303,BI$2,FALSE),"")</f>
        <v>1386.7714486893044</v>
      </c>
      <c r="BJ13" s="34">
        <f>IFERROR(VLOOKUP($A13,'Arranjos Consolidados'!$E$3:$BM$303,BJ$2,FALSE),"")</f>
        <v>1.570676941832976</v>
      </c>
      <c r="BK13" s="34">
        <f>IFERROR(VLOOKUP($A13,'Arranjos Consolidados'!$E$3:$BM$303,BK$2,FALSE),"")</f>
        <v>1.4226194092175497</v>
      </c>
    </row>
    <row r="14" spans="1:63" ht="16.5" x14ac:dyDescent="0.25">
      <c r="A14" s="24" t="s">
        <v>10015</v>
      </c>
      <c r="B14" s="32">
        <f>'Banco de Dados'!$I$29</f>
        <v>300</v>
      </c>
      <c r="C14" s="25">
        <f>'Banco de Dados'!$I$30/100</f>
        <v>0.42499999999999999</v>
      </c>
      <c r="D14" s="29">
        <f>IFERROR(VLOOKUP($A14,'Arranjos Consolidados'!$E$3:$BM$303,D$2,FALSE),"")</f>
        <v>18919</v>
      </c>
      <c r="E14" s="33">
        <f>IFERROR(VLOOKUP($A14,'Arranjos Consolidados'!$E$3:$BM$303,E$2,FALSE),"")</f>
        <v>0.89712986944341666</v>
      </c>
      <c r="F14" s="29">
        <f>IFERROR(VLOOKUP($A14,'Arranjos Consolidados'!$E$3:$BM$303,F$2,FALSE),"")</f>
        <v>200</v>
      </c>
      <c r="G14" s="31">
        <f>IFERROR(VLOOKUP($A14,'Arranjos Consolidados'!$E$3:$BM$303,G$2,FALSE),"")</f>
        <v>361.20204636638238</v>
      </c>
      <c r="H14" s="34">
        <f>IFERROR(VLOOKUP($A14,'Arranjos Consolidados'!$E$3:$BM$303,H$2,FALSE),"")</f>
        <v>-0.90546677019226829</v>
      </c>
      <c r="I14" s="29">
        <f>IFERROR(VLOOKUP($A14,'Arranjos Consolidados'!$E$3:$BM$303,I$2,FALSE),"")</f>
        <v>30</v>
      </c>
      <c r="J14" s="31">
        <f>IFERROR(VLOOKUP($A14,'Arranjos Consolidados'!$E$3:$BM$303,J$2,FALSE),"")</f>
        <v>63.908912492106609</v>
      </c>
      <c r="K14" s="31">
        <f>IFERROR(VLOOKUP($A14,'Arranjos Consolidados'!$E$3:$BM$303,K$2,FALSE),"")</f>
        <v>17.77016849936836</v>
      </c>
      <c r="L14" s="31">
        <f>IFERROR(VLOOKUP($A14,'Arranjos Consolidados'!$E$3:$BM$303,L$2,FALSE),"")</f>
        <v>25.739401664939738</v>
      </c>
      <c r="M14" s="31">
        <f>IFERROR(VLOOKUP($A14,'Arranjos Consolidados'!$E$3:$BM$303,M$2,FALSE),"")</f>
        <v>18.81034839829945</v>
      </c>
      <c r="N14" s="31">
        <f>IFERROR(VLOOKUP($A14,'Arranjos Consolidados'!$E$3:$BM$303,N$2,FALSE),"")</f>
        <v>4.737336876432158</v>
      </c>
      <c r="O14" s="31">
        <f>IFERROR(VLOOKUP($A14,'Arranjos Consolidados'!$E$3:$BM$303,O$2,FALSE),"")</f>
        <v>2.1917163902081289</v>
      </c>
      <c r="P14" s="31">
        <f>IFERROR(VLOOKUP($A14,'Arranjos Consolidados'!$E$3:$BM$303,P$2,FALSE),"")</f>
        <v>2.1917163902081289</v>
      </c>
      <c r="Q14" s="31">
        <f>IFERROR(VLOOKUP($A14,'Arranjos Consolidados'!$E$3:$BM$303,Q$2,FALSE),"")</f>
        <v>0</v>
      </c>
      <c r="R14" s="31">
        <f>IFERROR(VLOOKUP($A14,'Arranjos Consolidados'!$E$3:$BM$303,R$2,FALSE),"")</f>
        <v>0</v>
      </c>
      <c r="S14" s="31">
        <f>IFERROR(VLOOKUP($A14,'Arranjos Consolidados'!$E$3:$BM$303,S$2,FALSE),"")</f>
        <v>16320.55445704804</v>
      </c>
      <c r="T14" s="31">
        <f>IFERROR(VLOOKUP($A14,'Arranjos Consolidados'!$E$3:$BM$303,T$2,FALSE),"")</f>
        <v>0</v>
      </c>
      <c r="U14" s="31">
        <f>IFERROR(VLOOKUP($A14,'Arranjos Consolidados'!$E$3:$BM$303,U$2,FALSE),"")</f>
        <v>0</v>
      </c>
      <c r="V14" s="31">
        <f>IFERROR(VLOOKUP($A14,'Arranjos Consolidados'!$E$3:$BM$303,V$2,FALSE),"")</f>
        <v>0</v>
      </c>
      <c r="W14" s="31">
        <f>IFERROR(VLOOKUP($A14,'Arranjos Consolidados'!$E$3:$BM$303,W$2,FALSE),"")</f>
        <v>1128.7669334777549</v>
      </c>
      <c r="X14" s="29">
        <f>IFERROR(VLOOKUP($A14,'Arranjos Consolidados'!$E$3:$BM$303,X$2,FALSE),"")</f>
        <v>0</v>
      </c>
      <c r="Y14" s="31">
        <f>IFERROR(VLOOKUP($A14,'Arranjos Consolidados'!$E$3:$BM$303,Y$2,FALSE),"")</f>
        <v>507.44234841323436</v>
      </c>
      <c r="Z14" s="29">
        <f>IFERROR(VLOOKUP($A14,'Arranjos Consolidados'!$E$3:$BM$303,Z$2,FALSE),"")</f>
        <v>7.9612731522360169</v>
      </c>
      <c r="AA14" s="31">
        <f>IFERROR(VLOOKUP($A14,'Arranjos Consolidados'!$E$3:$BM$303,AA$2,FALSE),"")</f>
        <v>613.36331191228464</v>
      </c>
      <c r="AB14" s="31">
        <f>IFERROR(VLOOKUP($A14,'Arranjos Consolidados'!$E$3:$BM$303,AB$2,FALSE),"")</f>
        <v>767.56488711137263</v>
      </c>
      <c r="AC14" s="31">
        <f>IFERROR(VLOOKUP($A14,'Arranjos Consolidados'!$E$3:$BM$303,AC$2,FALSE),"")</f>
        <v>6.1143131436300475</v>
      </c>
      <c r="AD14" s="31">
        <f>IFERROR(VLOOKUP($A14,'Arranjos Consolidados'!$E$3:$BM$303,AD$2,FALSE),"")</f>
        <v>0</v>
      </c>
      <c r="AE14" s="31">
        <f>IFERROR(VLOOKUP($A14,'Arranjos Consolidados'!$E$3:$BM$303,AE$2,FALSE),"")</f>
        <v>0</v>
      </c>
      <c r="AF14" s="31">
        <f>IFERROR(VLOOKUP($A14,'Arranjos Consolidados'!$E$3:$BM$303,AF$2,FALSE),"")</f>
        <v>638.45021573829979</v>
      </c>
      <c r="AG14" s="31">
        <f>IFERROR(VLOOKUP($A14,'Arranjos Consolidados'!$E$3:$BM$303,AG$2,FALSE),"")</f>
        <v>123.00035822944251</v>
      </c>
      <c r="AH14" s="31">
        <f>IFERROR(VLOOKUP($A14,'Arranjos Consolidados'!$E$3:$BM$303,AH$2,FALSE),"")</f>
        <v>0</v>
      </c>
      <c r="AI14" s="31">
        <f>IFERROR(VLOOKUP($A14,'Arranjos Consolidados'!$E$3:$BM$303,AI$2,FALSE),"")</f>
        <v>0</v>
      </c>
      <c r="AJ14" s="31">
        <f>IFERROR(VLOOKUP($A14,'Arranjos Consolidados'!$E$3:$BM$303,AJ$2,FALSE),"")</f>
        <v>0</v>
      </c>
      <c r="AK14" s="31">
        <f>IFERROR(VLOOKUP($A14,'Arranjos Consolidados'!$E$3:$BM$303,AK$2,FALSE),"")</f>
        <v>0</v>
      </c>
      <c r="AL14" s="34">
        <f>IFERROR(VLOOKUP($A14,'Arranjos Consolidados'!$E$3:$BM$303,AL$2,FALSE),"")</f>
        <v>1.254527414916605</v>
      </c>
      <c r="AM14" s="31">
        <f>IFERROR(VLOOKUP($A14,'Arranjos Consolidados'!$E$3:$BM$303,AM$2,FALSE),"")</f>
        <v>361.20204636638238</v>
      </c>
      <c r="AN14" s="31">
        <f>IFERROR(VLOOKUP($A14,'Arranjos Consolidados'!$E$3:$BM$303,AN$2,FALSE),"")</f>
        <v>644.56452888192996</v>
      </c>
      <c r="AO14" s="31">
        <f>IFERROR(VLOOKUP($A14,'Arranjos Consolidados'!$E$3:$BM$303,AO$2,FALSE),"")</f>
        <v>6.1143131436300475</v>
      </c>
      <c r="AP14" s="31">
        <f>IFERROR(VLOOKUP($A14,'Arranjos Consolidados'!$E$3:$BM$303,AP$2,FALSE),"")</f>
        <v>0</v>
      </c>
      <c r="AQ14" s="31">
        <f>IFERROR(VLOOKUP($A14,'Arranjos Consolidados'!$E$3:$BM$303,AQ$2,FALSE),"")</f>
        <v>0</v>
      </c>
      <c r="AR14" s="31">
        <f>IFERROR(VLOOKUP($A14,'Arranjos Consolidados'!$E$3:$BM$303,AR$2,FALSE),"")</f>
        <v>638.45021573829979</v>
      </c>
      <c r="AS14" s="31">
        <f>IFERROR(VLOOKUP($A14,'Arranjos Consolidados'!$E$3:$BM$303,AS$2,FALSE),"")</f>
        <v>406.8004619120947</v>
      </c>
      <c r="AT14" s="31">
        <f>IFERROR(VLOOKUP($A14,'Arranjos Consolidados'!$E$3:$BM$303,AT$2,FALSE),"")</f>
        <v>88.091000828566962</v>
      </c>
      <c r="AU14" s="31">
        <f>IFERROR(VLOOKUP($A14,'Arranjos Consolidados'!$E$3:$BM$303,AU$2,FALSE),"")</f>
        <v>88.091000828566962</v>
      </c>
      <c r="AV14" s="31">
        <f>IFERROR(VLOOKUP($A14,'Arranjos Consolidados'!$E$3:$BM$303,AV$2,FALSE),"")</f>
        <v>0</v>
      </c>
      <c r="AW14" s="31">
        <f>IFERROR(VLOOKUP($A14,'Arranjos Consolidados'!$E$3:$BM$303,AW$2,FALSE),"")</f>
        <v>0</v>
      </c>
      <c r="AX14" s="31">
        <f>IFERROR(VLOOKUP($A14,'Arranjos Consolidados'!$E$3:$BM$303,AX$2,FALSE),"")</f>
        <v>248.12748545234277</v>
      </c>
      <c r="AY14" s="31">
        <f>IFERROR(VLOOKUP($A14,'Arranjos Consolidados'!$E$3:$BM$303,AY$2,FALSE),"")</f>
        <v>82.718698010625445</v>
      </c>
      <c r="AZ14" s="31">
        <f>IFERROR(VLOOKUP($A14,'Arranjos Consolidados'!$E$3:$BM$303,AZ$2,FALSE),"")</f>
        <v>68.920328100715565</v>
      </c>
      <c r="BA14" s="31">
        <f>IFERROR(VLOOKUP($A14,'Arranjos Consolidados'!$E$3:$BM$303,BA$2,FALSE),"")</f>
        <v>96.488459341001786</v>
      </c>
      <c r="BB14" s="31">
        <f>IFERROR(VLOOKUP($A14,'Arranjos Consolidados'!$E$3:$BM$303,BB$2,FALSE),"")</f>
        <v>0</v>
      </c>
      <c r="BC14" s="31">
        <f>IFERROR(VLOOKUP($A14,'Arranjos Consolidados'!$E$3:$BM$303,BC$2,FALSE),"")</f>
        <v>70.581975631184974</v>
      </c>
      <c r="BD14" s="31">
        <f>IFERROR(VLOOKUP($A14,'Arranjos Consolidados'!$E$3:$BM$303,BD$2,FALSE),"")</f>
        <v>24.210120229791247</v>
      </c>
      <c r="BE14" s="31">
        <f>IFERROR(VLOOKUP($A14,'Arranjos Consolidados'!$E$3:$BM$303,BE$2,FALSE),"")</f>
        <v>1.5831329762799125</v>
      </c>
      <c r="BF14" s="31">
        <f>IFERROR(VLOOKUP($A14,'Arranjos Consolidados'!$E$3:$BM$303,BF$2,FALSE),"")</f>
        <v>44.788722425113811</v>
      </c>
      <c r="BG14" s="31">
        <f>IFERROR(VLOOKUP($A14,'Arranjos Consolidados'!$E$3:$BM$303,BG$2,FALSE),"")</f>
        <v>0</v>
      </c>
      <c r="BH14" s="31">
        <f>IFERROR(VLOOKUP($A14,'Arranjos Consolidados'!$E$3:$BM$303,BH$2,FALSE),"")</f>
        <v>1051.3649907940246</v>
      </c>
      <c r="BI14" s="31">
        <f>IFERROR(VLOOKUP($A14,'Arranjos Consolidados'!$E$3:$BM$303,BI$2,FALSE),"")</f>
        <v>1818.9298779053972</v>
      </c>
      <c r="BJ14" s="34">
        <f>IFERROR(VLOOKUP($A14,'Arranjos Consolidados'!$E$3:$BM$303,BJ$2,FALSE),"")</f>
        <v>2.2965200416874421</v>
      </c>
      <c r="BK14" s="34">
        <f>IFERROR(VLOOKUP($A14,'Arranjos Consolidados'!$E$3:$BM$303,BK$2,FALSE),"")</f>
        <v>-0.90546677019226829</v>
      </c>
    </row>
    <row r="15" spans="1:63" ht="16.5" x14ac:dyDescent="0.25">
      <c r="A15" s="24" t="s">
        <v>10016</v>
      </c>
      <c r="B15" s="32">
        <f>'Banco de Dados'!$I$29</f>
        <v>300</v>
      </c>
      <c r="C15" s="25">
        <f>'Banco de Dados'!$I$30/100</f>
        <v>0.42499999999999999</v>
      </c>
      <c r="D15" s="29">
        <f>IFERROR(VLOOKUP($A15,'Arranjos Consolidados'!$E$3:$BM$303,D$2,FALSE),"")</f>
        <v>56893</v>
      </c>
      <c r="E15" s="33">
        <f>IFERROR(VLOOKUP($A15,'Arranjos Consolidados'!$E$3:$BM$303,E$2,FALSE),"")</f>
        <v>0.8971338410074764</v>
      </c>
      <c r="F15" s="29">
        <f>IFERROR(VLOOKUP($A15,'Arranjos Consolidados'!$E$3:$BM$303,F$2,FALSE),"")</f>
        <v>200.00000000000003</v>
      </c>
      <c r="G15" s="31">
        <f>IFERROR(VLOOKUP($A15,'Arranjos Consolidados'!$E$3:$BM$303,G$2,FALSE),"")</f>
        <v>886.92769872390511</v>
      </c>
      <c r="H15" s="34">
        <f>IFERROR(VLOOKUP($A15,'Arranjos Consolidados'!$E$3:$BM$303,H$2,FALSE),"")</f>
        <v>-7.2870269582598963</v>
      </c>
      <c r="I15" s="29">
        <f>IFERROR(VLOOKUP($A15,'Arranjos Consolidados'!$E$3:$BM$303,I$2,FALSE),"")</f>
        <v>30</v>
      </c>
      <c r="J15" s="31">
        <f>IFERROR(VLOOKUP($A15,'Arranjos Consolidados'!$E$3:$BM$303,J$2,FALSE),"")</f>
        <v>64.159032132771074</v>
      </c>
      <c r="K15" s="31">
        <f>IFERROR(VLOOKUP($A15,'Arranjos Consolidados'!$E$3:$BM$303,K$2,FALSE),"")</f>
        <v>19.710027483765991</v>
      </c>
      <c r="L15" s="31">
        <f>IFERROR(VLOOKUP($A15,'Arranjos Consolidados'!$E$3:$BM$303,L$2,FALSE),"")</f>
        <v>25.739401664939734</v>
      </c>
      <c r="M15" s="31">
        <f>IFERROR(VLOOKUP($A15,'Arranjos Consolidados'!$E$3:$BM$303,M$2,FALSE),"")</f>
        <v>18.810348398299453</v>
      </c>
      <c r="N15" s="31">
        <f>IFERROR(VLOOKUP($A15,'Arranjos Consolidados'!$E$3:$BM$303,N$2,FALSE),"")</f>
        <v>4.7373368764321588</v>
      </c>
      <c r="O15" s="31">
        <f>IFERROR(VLOOKUP($A15,'Arranjos Consolidados'!$E$3:$BM$303,O$2,FALSE),"")</f>
        <v>2.191716390208128</v>
      </c>
      <c r="P15" s="31">
        <f>IFERROR(VLOOKUP($A15,'Arranjos Consolidados'!$E$3:$BM$303,P$2,FALSE),"")</f>
        <v>2.191716390208128</v>
      </c>
      <c r="Q15" s="31">
        <f>IFERROR(VLOOKUP($A15,'Arranjos Consolidados'!$E$3:$BM$303,Q$2,FALSE),"")</f>
        <v>0</v>
      </c>
      <c r="R15" s="31">
        <f>IFERROR(VLOOKUP($A15,'Arranjos Consolidados'!$E$3:$BM$303,R$2,FALSE),"")</f>
        <v>0</v>
      </c>
      <c r="S15" s="31">
        <f>IFERROR(VLOOKUP($A15,'Arranjos Consolidados'!$E$3:$BM$303,S$2,FALSE),"")</f>
        <v>16320.554457048042</v>
      </c>
      <c r="T15" s="31">
        <f>IFERROR(VLOOKUP($A15,'Arranjos Consolidados'!$E$3:$BM$303,T$2,FALSE),"")</f>
        <v>0</v>
      </c>
      <c r="U15" s="31">
        <f>IFERROR(VLOOKUP($A15,'Arranjos Consolidados'!$E$3:$BM$303,U$2,FALSE),"")</f>
        <v>0</v>
      </c>
      <c r="V15" s="31">
        <f>IFERROR(VLOOKUP($A15,'Arranjos Consolidados'!$E$3:$BM$303,V$2,FALSE),"")</f>
        <v>0</v>
      </c>
      <c r="W15" s="31">
        <f>IFERROR(VLOOKUP($A15,'Arranjos Consolidados'!$E$3:$BM$303,W$2,FALSE),"")</f>
        <v>1579.3419151649869</v>
      </c>
      <c r="X15" s="29">
        <f>IFERROR(VLOOKUP($A15,'Arranjos Consolidados'!$E$3:$BM$303,X$2,FALSE),"")</f>
        <v>0</v>
      </c>
      <c r="Y15" s="31">
        <f>IFERROR(VLOOKUP($A15,'Arranjos Consolidados'!$E$3:$BM$303,Y$2,FALSE),"")</f>
        <v>526.40523994961814</v>
      </c>
      <c r="Z15" s="29">
        <f>IFERROR(VLOOKUP($A15,'Arranjos Consolidados'!$E$3:$BM$303,Z$2,FALSE),"")</f>
        <v>439.75797403002122</v>
      </c>
      <c r="AA15" s="31">
        <f>IFERROR(VLOOKUP($A15,'Arranjos Consolidados'!$E$3:$BM$303,AA$2,FALSE),"")</f>
        <v>613.17870118534734</v>
      </c>
      <c r="AB15" s="31">
        <f>IFERROR(VLOOKUP($A15,'Arranjos Consolidados'!$E$3:$BM$303,AB$2,FALSE),"")</f>
        <v>692.41421644108175</v>
      </c>
      <c r="AC15" s="31">
        <f>IFERROR(VLOOKUP($A15,'Arranjos Consolidados'!$E$3:$BM$303,AC$2,FALSE),"")</f>
        <v>5.9297024166926819</v>
      </c>
      <c r="AD15" s="31">
        <f>IFERROR(VLOOKUP($A15,'Arranjos Consolidados'!$E$3:$BM$303,AD$2,FALSE),"")</f>
        <v>0</v>
      </c>
      <c r="AE15" s="31">
        <f>IFERROR(VLOOKUP($A15,'Arranjos Consolidados'!$E$3:$BM$303,AE$2,FALSE),"")</f>
        <v>0</v>
      </c>
      <c r="AF15" s="31">
        <f>IFERROR(VLOOKUP($A15,'Arranjos Consolidados'!$E$3:$BM$303,AF$2,FALSE),"")</f>
        <v>563.4841557949461</v>
      </c>
      <c r="AG15" s="31">
        <f>IFERROR(VLOOKUP($A15,'Arranjos Consolidados'!$E$3:$BM$303,AG$2,FALSE),"")</f>
        <v>123.00035822944251</v>
      </c>
      <c r="AH15" s="31">
        <f>IFERROR(VLOOKUP($A15,'Arranjos Consolidados'!$E$3:$BM$303,AH$2,FALSE),"")</f>
        <v>0</v>
      </c>
      <c r="AI15" s="31">
        <f>IFERROR(VLOOKUP($A15,'Arranjos Consolidados'!$E$3:$BM$303,AI$2,FALSE),"")</f>
        <v>0</v>
      </c>
      <c r="AJ15" s="31">
        <f>IFERROR(VLOOKUP($A15,'Arranjos Consolidados'!$E$3:$BM$303,AJ$2,FALSE),"")</f>
        <v>0</v>
      </c>
      <c r="AK15" s="31">
        <f>IFERROR(VLOOKUP($A15,'Arranjos Consolidados'!$E$3:$BM$303,AK$2,FALSE),"")</f>
        <v>0</v>
      </c>
      <c r="AL15" s="34">
        <f>IFERROR(VLOOKUP($A15,'Arranjos Consolidados'!$E$3:$BM$303,AL$2,FALSE),"")</f>
        <v>1.1318161748839681</v>
      </c>
      <c r="AM15" s="31">
        <f>IFERROR(VLOOKUP($A15,'Arranjos Consolidados'!$E$3:$BM$303,AM$2,FALSE),"")</f>
        <v>886.92769872390511</v>
      </c>
      <c r="AN15" s="31">
        <f>IFERROR(VLOOKUP($A15,'Arranjos Consolidados'!$E$3:$BM$303,AN$2,FALSE),"")</f>
        <v>569.41385821163885</v>
      </c>
      <c r="AO15" s="31">
        <f>IFERROR(VLOOKUP($A15,'Arranjos Consolidados'!$E$3:$BM$303,AO$2,FALSE),"")</f>
        <v>5.9297024166926819</v>
      </c>
      <c r="AP15" s="31">
        <f>IFERROR(VLOOKUP($A15,'Arranjos Consolidados'!$E$3:$BM$303,AP$2,FALSE),"")</f>
        <v>0</v>
      </c>
      <c r="AQ15" s="31">
        <f>IFERROR(VLOOKUP($A15,'Arranjos Consolidados'!$E$3:$BM$303,AQ$2,FALSE),"")</f>
        <v>0</v>
      </c>
      <c r="AR15" s="31">
        <f>IFERROR(VLOOKUP($A15,'Arranjos Consolidados'!$E$3:$BM$303,AR$2,FALSE),"")</f>
        <v>563.4841557949461</v>
      </c>
      <c r="AS15" s="31">
        <f>IFERROR(VLOOKUP($A15,'Arranjos Consolidados'!$E$3:$BM$303,AS$2,FALSE),"")</f>
        <v>834.04088545427066</v>
      </c>
      <c r="AT15" s="31">
        <f>IFERROR(VLOOKUP($A15,'Arranjos Consolidados'!$E$3:$BM$303,AT$2,FALSE),"")</f>
        <v>440.41551890979588</v>
      </c>
      <c r="AU15" s="31">
        <f>IFERROR(VLOOKUP($A15,'Arranjos Consolidados'!$E$3:$BM$303,AU$2,FALSE),"")</f>
        <v>440.41551890979588</v>
      </c>
      <c r="AV15" s="31">
        <f>IFERROR(VLOOKUP($A15,'Arranjos Consolidados'!$E$3:$BM$303,AV$2,FALSE),"")</f>
        <v>0</v>
      </c>
      <c r="AW15" s="31">
        <f>IFERROR(VLOOKUP($A15,'Arranjos Consolidados'!$E$3:$BM$303,AW$2,FALSE),"")</f>
        <v>0</v>
      </c>
      <c r="AX15" s="31">
        <f>IFERROR(VLOOKUP($A15,'Arranjos Consolidados'!$E$3:$BM$303,AX$2,FALSE),"")</f>
        <v>248.1274854523428</v>
      </c>
      <c r="AY15" s="31">
        <f>IFERROR(VLOOKUP($A15,'Arranjos Consolidados'!$E$3:$BM$303,AY$2,FALSE),"")</f>
        <v>82.718698010625431</v>
      </c>
      <c r="AZ15" s="31">
        <f>IFERROR(VLOOKUP($A15,'Arranjos Consolidados'!$E$3:$BM$303,AZ$2,FALSE),"")</f>
        <v>68.920328100715594</v>
      </c>
      <c r="BA15" s="31">
        <f>IFERROR(VLOOKUP($A15,'Arranjos Consolidados'!$E$3:$BM$303,BA$2,FALSE),"")</f>
        <v>96.4884593410018</v>
      </c>
      <c r="BB15" s="31">
        <f>IFERROR(VLOOKUP($A15,'Arranjos Consolidados'!$E$3:$BM$303,BB$2,FALSE),"")</f>
        <v>0</v>
      </c>
      <c r="BC15" s="31">
        <f>IFERROR(VLOOKUP($A15,'Arranjos Consolidados'!$E$3:$BM$303,BC$2,FALSE),"")</f>
        <v>145.49788109213196</v>
      </c>
      <c r="BD15" s="31">
        <f>IFERROR(VLOOKUP($A15,'Arranjos Consolidados'!$E$3:$BM$303,BD$2,FALSE),"")</f>
        <v>50.49640284766739</v>
      </c>
      <c r="BE15" s="31">
        <f>IFERROR(VLOOKUP($A15,'Arranjos Consolidados'!$E$3:$BM$303,BE$2,FALSE),"")</f>
        <v>1.5831329762799122</v>
      </c>
      <c r="BF15" s="31">
        <f>IFERROR(VLOOKUP($A15,'Arranjos Consolidados'!$E$3:$BM$303,BF$2,FALSE),"")</f>
        <v>93.41834526818468</v>
      </c>
      <c r="BG15" s="31">
        <f>IFERROR(VLOOKUP($A15,'Arranjos Consolidados'!$E$3:$BM$303,BG$2,FALSE),"")</f>
        <v>0</v>
      </c>
      <c r="BH15" s="31">
        <f>IFERROR(VLOOKUP($A15,'Arranjos Consolidados'!$E$3:$BM$303,BH$2,FALSE),"")</f>
        <v>1403.4547436659095</v>
      </c>
      <c r="BI15" s="31">
        <f>IFERROR(VLOOKUP($A15,'Arranjos Consolidados'!$E$3:$BM$303,BI$2,FALSE),"")</f>
        <v>2095.8689601069914</v>
      </c>
      <c r="BJ15" s="34">
        <f>IFERROR(VLOOKUP($A15,'Arranjos Consolidados'!$E$3:$BM$303,BJ$2,FALSE),"")</f>
        <v>2.7470307043564297</v>
      </c>
      <c r="BK15" s="34">
        <f>IFERROR(VLOOKUP($A15,'Arranjos Consolidados'!$E$3:$BM$303,BK$2,FALSE),"")</f>
        <v>-7.2870269582598963</v>
      </c>
    </row>
    <row r="16" spans="1:63" ht="16.5" x14ac:dyDescent="0.25">
      <c r="A16" s="24" t="s">
        <v>10156</v>
      </c>
      <c r="B16" s="32">
        <f>'Banco de Dados'!$I$29</f>
        <v>300</v>
      </c>
      <c r="C16" s="25">
        <f>'Banco de Dados'!$I$30/100</f>
        <v>0.42499999999999999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25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25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25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25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25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25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25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25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25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5" x14ac:dyDescent="0.25">
      <c r="D26" s="38" t="s">
        <v>9943</v>
      </c>
      <c r="E26" s="38" t="s">
        <v>9876</v>
      </c>
      <c r="F26" s="38" t="s">
        <v>10449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5" x14ac:dyDescent="0.35">
      <c r="B27" s="41" t="str">
        <f>_xlfn.CONCAT(D27,F27)</f>
        <v>M1A4SA2</v>
      </c>
      <c r="D27" s="40" t="s">
        <v>10459</v>
      </c>
      <c r="E27" s="40" t="s">
        <v>10320</v>
      </c>
      <c r="F27" s="40" t="s">
        <v>10576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25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16.5" x14ac:dyDescent="0.25">
      <c r="B29" s="29"/>
      <c r="D29" s="38" t="s">
        <v>10439</v>
      </c>
      <c r="E29" s="38" t="s">
        <v>10440</v>
      </c>
      <c r="F29" s="38" t="s">
        <v>10441</v>
      </c>
      <c r="G29" s="38" t="s">
        <v>10450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5" x14ac:dyDescent="0.35">
      <c r="A30" s="41" t="str">
        <f>_xlfn.CONCAT($D$27,$F$27,B30)</f>
        <v>M1A4SA2RT1-A</v>
      </c>
      <c r="B30" s="41" t="s">
        <v>10321</v>
      </c>
      <c r="C30" s="39" t="s">
        <v>10442</v>
      </c>
      <c r="D30" s="43">
        <f>IFERROR(VLOOKUP(A30,'Arranjos Consolidados'!$E$3:$BM$303,5,FALSE),"")</f>
        <v>599.92898289729408</v>
      </c>
      <c r="E30" s="42">
        <f>IFERROR(VLOOKUP(A30,'Arranjos Consolidados'!$E$3:$BM$303,21,FALSE),"")</f>
        <v>742.18908559445322</v>
      </c>
      <c r="F30" s="42">
        <f>IFERROR(VLOOKUP(A30,'Arranjos Consolidados'!$E$3:$BM$303,43,FALSE),"")</f>
        <v>558.97242188433177</v>
      </c>
      <c r="G30" s="40">
        <f>IFERROR(VLOOKUP(A30,'Arranjos Consolidados'!$E$3:$BM$303,4,FALSE),"")</f>
        <v>200</v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5" x14ac:dyDescent="0.35">
      <c r="A31" s="41" t="str">
        <f t="shared" ref="A31:A36" si="0">_xlfn.CONCAT($D$27,$F$27,B31)</f>
        <v>M1A4SA2RT1-B</v>
      </c>
      <c r="B31" s="41" t="s">
        <v>10322</v>
      </c>
      <c r="C31" s="39" t="s">
        <v>10443</v>
      </c>
      <c r="D31" s="43">
        <f>IFERROR(VLOOKUP(A31,'Arranjos Consolidados'!$E$3:$BM$303,5,FALSE),"")</f>
        <v>1817.3860635667897</v>
      </c>
      <c r="E31" s="42">
        <f>IFERROR(VLOOKUP(A31,'Arranjos Consolidados'!$E$3:$BM$303,21,FALSE),"")</f>
        <v>742.18908559445322</v>
      </c>
      <c r="F31" s="42">
        <f>IFERROR(VLOOKUP(A31,'Arranjos Consolidados'!$E$3:$BM$303,43,FALSE),"")</f>
        <v>721.91935396991175</v>
      </c>
      <c r="G31" s="40">
        <f>IFERROR(VLOOKUP(A31,'Arranjos Consolidados'!$E$3:$BM$303,4,FALSE),"")</f>
        <v>200</v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5" x14ac:dyDescent="0.35">
      <c r="A32" s="41" t="str">
        <f t="shared" si="0"/>
        <v>M1A4SA2RT1-C</v>
      </c>
      <c r="B32" s="41" t="s">
        <v>10323</v>
      </c>
      <c r="C32" s="39" t="s">
        <v>10444</v>
      </c>
      <c r="D32" s="43">
        <f>IFERROR(VLOOKUP(A32,'Arranjos Consolidados'!$E$3:$BM$303,5,FALSE),"")</f>
        <v>672.4716119291304</v>
      </c>
      <c r="E32" s="42">
        <f>IFERROR(VLOOKUP(A32,'Arranjos Consolidados'!$E$3:$BM$303,21,FALSE),"")</f>
        <v>742.18908559445322</v>
      </c>
      <c r="F32" s="42">
        <f>IFERROR(VLOOKUP(A32,'Arranjos Consolidados'!$E$3:$BM$303,43,FALSE),"")</f>
        <v>564.87537656735401</v>
      </c>
      <c r="G32" s="40">
        <f>IFERROR(VLOOKUP(A32,'Arranjos Consolidados'!$E$3:$BM$303,4,FALSE),"")</f>
        <v>200</v>
      </c>
    </row>
    <row r="33" spans="1:14" ht="16.5" x14ac:dyDescent="0.35">
      <c r="A33" s="41" t="str">
        <f t="shared" si="0"/>
        <v>M1A4SA2RT2</v>
      </c>
      <c r="B33" s="41" t="s">
        <v>10324</v>
      </c>
      <c r="C33" s="39" t="s">
        <v>10445</v>
      </c>
      <c r="D33" s="43">
        <f>IFERROR(VLOOKUP(A33,'Arranjos Consolidados'!$E$3:$BM$303,5,FALSE),"")</f>
        <v>608.02605049950841</v>
      </c>
      <c r="E33" s="42">
        <f>IFERROR(VLOOKUP(A33,'Arranjos Consolidados'!$E$3:$BM$303,21,FALSE),"")</f>
        <v>708.69315083995423</v>
      </c>
      <c r="F33" s="42">
        <f>IFERROR(VLOOKUP(A33,'Arranjos Consolidados'!$E$3:$BM$303,43,FALSE),"")</f>
        <v>561.30342111886148</v>
      </c>
      <c r="G33" s="40">
        <f>IFERROR(VLOOKUP(A33,'Arranjos Consolidados'!$E$3:$BM$303,4,FALSE),"")</f>
        <v>200</v>
      </c>
    </row>
    <row r="34" spans="1:14" ht="16.5" x14ac:dyDescent="0.35">
      <c r="A34" s="41" t="str">
        <f t="shared" si="0"/>
        <v>M1A4SA2RT3</v>
      </c>
      <c r="B34" s="41" t="s">
        <v>10325</v>
      </c>
      <c r="C34" s="39" t="s">
        <v>10446</v>
      </c>
      <c r="D34" s="43">
        <f>IFERROR(VLOOKUP(A34,'Arranjos Consolidados'!$E$3:$BM$303,5,FALSE),"")</f>
        <v>670.68385852861354</v>
      </c>
      <c r="E34" s="42">
        <f>IFERROR(VLOOKUP(A34,'Arranjos Consolidados'!$E$3:$BM$303,21,FALSE),"")</f>
        <v>772.14462727861337</v>
      </c>
      <c r="F34" s="42">
        <f>IFERROR(VLOOKUP(A34,'Arranjos Consolidados'!$E$3:$BM$303,43,FALSE),"")</f>
        <v>533.55879127539947</v>
      </c>
      <c r="G34" s="40">
        <f>IFERROR(VLOOKUP(A34,'Arranjos Consolidados'!$E$3:$BM$303,4,FALSE),"")</f>
        <v>200</v>
      </c>
    </row>
    <row r="35" spans="1:14" ht="16.5" x14ac:dyDescent="0.35">
      <c r="A35" s="41" t="str">
        <f t="shared" si="0"/>
        <v>M1A4SA2RT4</v>
      </c>
      <c r="B35" s="41" t="s">
        <v>10326</v>
      </c>
      <c r="C35" s="39" t="s">
        <v>10447</v>
      </c>
      <c r="D35" s="43">
        <f>IFERROR(VLOOKUP(A35,'Arranjos Consolidados'!$E$3:$BM$303,5,FALSE),"")</f>
        <v>871.92591596986892</v>
      </c>
      <c r="E35" s="42">
        <f>IFERROR(VLOOKUP(A35,'Arranjos Consolidados'!$E$3:$BM$303,21,FALSE),"")</f>
        <v>1060.5399987686546</v>
      </c>
      <c r="F35" s="42">
        <f>IFERROR(VLOOKUP(A35,'Arranjos Consolidados'!$E$3:$BM$303,43,FALSE),"")</f>
        <v>611.8513161710855</v>
      </c>
      <c r="G35" s="40">
        <f>IFERROR(VLOOKUP(A35,'Arranjos Consolidados'!$E$3:$BM$303,4,FALSE),"")</f>
        <v>200</v>
      </c>
    </row>
    <row r="36" spans="1:14" ht="16.5" x14ac:dyDescent="0.35">
      <c r="A36" s="41" t="str">
        <f t="shared" si="0"/>
        <v>M1A4SA2RT5</v>
      </c>
      <c r="B36" s="41" t="s">
        <v>10327</v>
      </c>
      <c r="C36" s="39" t="s">
        <v>10448</v>
      </c>
      <c r="D36" s="43">
        <f>IFERROR(VLOOKUP(A36,'Arranjos Consolidados'!$E$3:$BM$303,5,FALSE),"")</f>
        <v>5860.7560358969276</v>
      </c>
      <c r="E36" s="42">
        <f>IFERROR(VLOOKUP(A36,'Arranjos Consolidados'!$E$3:$BM$303,21,FALSE),"")</f>
        <v>1859.6446391629077</v>
      </c>
      <c r="F36" s="42">
        <f>IFERROR(VLOOKUP(A36,'Arranjos Consolidados'!$E$3:$BM$303,43,FALSE),"")</f>
        <v>2979.9210436291996</v>
      </c>
      <c r="G36" s="40">
        <f>IFERROR(VLOOKUP(A36,'Arranjos Consolidados'!$E$3:$BM$303,4,FALSE),"")</f>
        <v>200</v>
      </c>
    </row>
    <row r="38" spans="1:14" ht="16.5" x14ac:dyDescent="0.25">
      <c r="D38" s="38" t="s">
        <v>9943</v>
      </c>
      <c r="E38" s="38" t="s">
        <v>9876</v>
      </c>
      <c r="F38" s="38" t="s">
        <v>10449</v>
      </c>
    </row>
    <row r="39" spans="1:14" ht="16.5" x14ac:dyDescent="0.35">
      <c r="B39" s="41" t="str">
        <f>_xlfn.CONCAT(D39,F39)</f>
        <v>M1Consolidado</v>
      </c>
      <c r="D39" s="40" t="s">
        <v>10459</v>
      </c>
      <c r="E39" s="40" t="s">
        <v>10455</v>
      </c>
      <c r="F39" s="40" t="s">
        <v>10462</v>
      </c>
    </row>
    <row r="41" spans="1:14" ht="33" x14ac:dyDescent="0.25">
      <c r="B41" s="29"/>
      <c r="D41" s="38" t="s">
        <v>10463</v>
      </c>
      <c r="E41" s="38" t="s">
        <v>10464</v>
      </c>
      <c r="F41" s="38" t="s">
        <v>10465</v>
      </c>
      <c r="G41" s="38" t="s">
        <v>10472</v>
      </c>
      <c r="H41" s="38" t="s">
        <v>10466</v>
      </c>
      <c r="I41" s="38" t="s">
        <v>10467</v>
      </c>
      <c r="J41" s="38" t="s">
        <v>10468</v>
      </c>
      <c r="K41" s="38" t="s">
        <v>10469</v>
      </c>
      <c r="L41" s="38" t="s">
        <v>10470</v>
      </c>
      <c r="M41" s="38" t="s">
        <v>10471</v>
      </c>
      <c r="N41" s="38" t="s">
        <v>10511</v>
      </c>
    </row>
    <row r="42" spans="1:14" ht="16.5" x14ac:dyDescent="0.25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</row>
    <row r="43" spans="1:14" ht="16.5" x14ac:dyDescent="0.35">
      <c r="A43" s="41" t="str">
        <f>_xlfn.CONCAT($D$39,$F$39,B43)</f>
        <v>M1ConsolidadoRT1-A</v>
      </c>
      <c r="B43" s="41" t="s">
        <v>10321</v>
      </c>
      <c r="C43" s="39" t="s">
        <v>10442</v>
      </c>
      <c r="D43" s="43" t="str">
        <f>(IFERROR(ROUND(VLOOKUP(A43,'Arranjos Consolidados'!$E$3:$BM$303,$D$42,FALSE),0),""))</f>
        <v/>
      </c>
      <c r="E43" s="43" t="str">
        <f>(IFERROR(ROUND(VLOOKUP(A43,'Arranjos Consolidados'!$E$3:$BM$303,$E$42,FALSE),0),""))</f>
        <v/>
      </c>
      <c r="F43" s="42" t="str">
        <f>(IFERROR(ROUND(VLOOKUP(A43,'Arranjos Consolidados'!$E$3:$BM$303,$F$42,FALSE),0),""))</f>
        <v/>
      </c>
      <c r="G43" s="42" t="str">
        <f>(IFERROR(ROUND(VLOOKUP(A43,'Arranjos Consolidados'!$E$3:$BM$303,$G$42,FALSE),0),""))</f>
        <v/>
      </c>
      <c r="H43" s="51" t="str">
        <f>(IFERROR(ROUND(VLOOKUP(A43,'Arranjos Consolidados'!$E$3:$BM$303,$H$42,FALSE),0),""))</f>
        <v/>
      </c>
      <c r="I43" s="40" t="str">
        <f>(IFERROR(ROUND(VLOOKUP(A43,'Arranjos Consolidados'!$E$3:$BM$303,$I$42,FALSE),0),""))</f>
        <v/>
      </c>
      <c r="J43" s="40" t="str">
        <f>(IFERROR(ROUND(VLOOKUP(A43,'Arranjos Consolidados'!$E$3:$BM$303,$J$42,FALSE),0),""))</f>
        <v/>
      </c>
      <c r="K43" s="40" t="str">
        <f>(IFERROR(ROUND(VLOOKUP(A43,'Arranjos Consolidados'!$E$3:$BM$303,$K$42,FALSE),0),""))</f>
        <v/>
      </c>
      <c r="L43" s="40" t="str">
        <f>(IFERROR(ROUND(VLOOKUP(A43,'Arranjos Consolidados'!$E$3:$BM$303,$L$42,FALSE),0),""))</f>
        <v/>
      </c>
      <c r="M43" s="54" t="str">
        <f>(IFERROR(ROUND(VLOOKUP(A43,'Arranjos Consolidados'!$E$3:$BM$303,18,FALSE),0),""))</f>
        <v/>
      </c>
      <c r="N43" s="40" t="s">
        <v>9688</v>
      </c>
    </row>
    <row r="44" spans="1:14" ht="16.5" x14ac:dyDescent="0.35">
      <c r="A44" s="41" t="str">
        <f t="shared" ref="A44:A49" si="1">_xlfn.CONCAT($D$39,$F$39,B44)</f>
        <v>M1ConsolidadoRT1-B</v>
      </c>
      <c r="B44" s="41" t="s">
        <v>10322</v>
      </c>
      <c r="C44" s="39" t="s">
        <v>10443</v>
      </c>
      <c r="D44" s="43" t="str">
        <f>(IFERROR(ROUND(VLOOKUP(A44,'Arranjos Consolidados'!$E$3:$BM$303,$D$42,FALSE),0),""))</f>
        <v/>
      </c>
      <c r="E44" s="43" t="str">
        <f>(IFERROR(ROUND(VLOOKUP(A44,'Arranjos Consolidados'!$E$3:$BM$303,$E$42,FALSE),0),""))</f>
        <v/>
      </c>
      <c r="F44" s="42" t="str">
        <f>(IFERROR(ROUND(VLOOKUP(A44,'Arranjos Consolidados'!$E$3:$BM$303,$F$42,FALSE),0),""))</f>
        <v/>
      </c>
      <c r="G44" s="42" t="str">
        <f>(IFERROR(ROUND(VLOOKUP(A44,'Arranjos Consolidados'!$E$3:$BM$303,$G$42,FALSE),0),""))</f>
        <v/>
      </c>
      <c r="H44" s="40" t="str">
        <f>(IFERROR(ROUND(VLOOKUP(A44,'Arranjos Consolidados'!$E$3:$BM$303,$H$42,FALSE),0),""))</f>
        <v/>
      </c>
      <c r="I44" s="40" t="str">
        <f>(IFERROR(ROUND(VLOOKUP(A44,'Arranjos Consolidados'!$E$3:$BM$303,$I$42,FALSE),0),""))</f>
        <v/>
      </c>
      <c r="J44" s="40" t="str">
        <f>(IFERROR(ROUND(VLOOKUP(A44,'Arranjos Consolidados'!$E$3:$BM$303,$J$42,FALSE),0),""))</f>
        <v/>
      </c>
      <c r="K44" s="40" t="str">
        <f>(IFERROR(ROUND(VLOOKUP(A44,'Arranjos Consolidados'!$E$3:$BM$303,$K$42,FALSE),0),""))</f>
        <v/>
      </c>
      <c r="L44" s="40" t="str">
        <f>(IFERROR(ROUND(VLOOKUP(A44,'Arranjos Consolidados'!$E$3:$BM$303,$L$42,FALSE),0),""))</f>
        <v/>
      </c>
      <c r="M44" s="54" t="str">
        <f>(IFERROR(ROUND(VLOOKUP(A44,'Arranjos Consolidados'!$E$3:$BM$303,19,FALSE),0),""))</f>
        <v/>
      </c>
      <c r="N44" s="40" t="str">
        <f>(IFERROR(ROUND(VLOOKUP(A44,'Arranjos Consolidados'!$E$3:$BM$303,20,FALSE),0),""))</f>
        <v/>
      </c>
    </row>
    <row r="45" spans="1:14" ht="16.5" x14ac:dyDescent="0.35">
      <c r="A45" s="41" t="str">
        <f t="shared" si="1"/>
        <v>M1ConsolidadoRT1-C</v>
      </c>
      <c r="B45" s="41" t="s">
        <v>10323</v>
      </c>
      <c r="C45" s="39" t="s">
        <v>10444</v>
      </c>
      <c r="D45" s="43" t="str">
        <f>(IFERROR(ROUND(VLOOKUP(A45,'Arranjos Consolidados'!$E$3:$BM$303,$D$42,FALSE),0),""))</f>
        <v/>
      </c>
      <c r="E45" s="43" t="str">
        <f>(IFERROR(ROUND(VLOOKUP(A45,'Arranjos Consolidados'!$E$3:$BM$303,$E$42,FALSE),0),""))</f>
        <v/>
      </c>
      <c r="F45" s="42" t="str">
        <f>(IFERROR(ROUND(VLOOKUP(A45,'Arranjos Consolidados'!$E$3:$BM$303,$F$42,FALSE),0),""))</f>
        <v/>
      </c>
      <c r="G45" s="42" t="str">
        <f>(IFERROR(ROUND(VLOOKUP(A45,'Arranjos Consolidados'!$E$3:$BM$303,$G$42,FALSE),0),""))</f>
        <v/>
      </c>
      <c r="H45" s="40" t="str">
        <f>(IFERROR(ROUND(VLOOKUP(A45,'Arranjos Consolidados'!$E$3:$BM$303,$H$42,FALSE),0),""))</f>
        <v/>
      </c>
      <c r="I45" s="40" t="str">
        <f>(IFERROR(ROUND(VLOOKUP(A45,'Arranjos Consolidados'!$E$3:$BM$303,$I$42,FALSE),0),""))</f>
        <v/>
      </c>
      <c r="J45" s="40" t="str">
        <f>(IFERROR(ROUND(VLOOKUP(A45,'Arranjos Consolidados'!$E$3:$BM$303,$J$42,FALSE),0),""))</f>
        <v/>
      </c>
      <c r="K45" s="40" t="str">
        <f>(IFERROR(ROUND(VLOOKUP(A45,'Arranjos Consolidados'!$E$3:$BM$303,$K$42,FALSE),0),""))</f>
        <v/>
      </c>
      <c r="L45" s="40" t="str">
        <f>(IFERROR(ROUND(VLOOKUP(A45,'Arranjos Consolidados'!$E$3:$BM$303,$L$42,FALSE),0),""))</f>
        <v/>
      </c>
      <c r="M45" s="54" t="str">
        <f>(IFERROR(ROUND(VLOOKUP(A45,'Arranjos Consolidados'!$E$3:$BM$303,20,FALSE),0),""))</f>
        <v/>
      </c>
      <c r="N45" s="40" t="s">
        <v>9688</v>
      </c>
    </row>
    <row r="46" spans="1:14" ht="16.5" x14ac:dyDescent="0.35">
      <c r="A46" s="41" t="str">
        <f t="shared" si="1"/>
        <v>M1ConsolidadoRT2</v>
      </c>
      <c r="B46" s="41" t="s">
        <v>10324</v>
      </c>
      <c r="C46" s="39" t="s">
        <v>10445</v>
      </c>
      <c r="D46" s="43" t="str">
        <f>(IFERROR(ROUND(VLOOKUP(A46,'Arranjos Consolidados'!$E$3:$BM$303,$D$42,FALSE),0),""))</f>
        <v/>
      </c>
      <c r="E46" s="43" t="str">
        <f>(IFERROR(ROUND(VLOOKUP(A46,'Arranjos Consolidados'!$E$3:$BM$303,$E$42,FALSE),0),""))</f>
        <v/>
      </c>
      <c r="F46" s="42" t="str">
        <f>(IFERROR(ROUND(VLOOKUP(A46,'Arranjos Consolidados'!$E$3:$BM$303,$F$42,FALSE),0),""))</f>
        <v/>
      </c>
      <c r="G46" s="42" t="str">
        <f>(IFERROR(ROUND(VLOOKUP(A46,'Arranjos Consolidados'!$E$3:$BM$303,$G$42,FALSE),0),""))</f>
        <v/>
      </c>
      <c r="H46" s="40" t="str">
        <f>(IFERROR(ROUND(VLOOKUP(A46,'Arranjos Consolidados'!$E$3:$BM$303,$H$42,FALSE),0),""))</f>
        <v/>
      </c>
      <c r="I46" s="40" t="str">
        <f>(IFERROR(ROUND(VLOOKUP(A46,'Arranjos Consolidados'!$E$3:$BM$303,$I$42,FALSE),0),""))</f>
        <v/>
      </c>
      <c r="J46" s="40" t="str">
        <f>(IFERROR(ROUND(VLOOKUP(A46,'Arranjos Consolidados'!$E$3:$BM$303,$J$42,FALSE),0),""))</f>
        <v/>
      </c>
      <c r="K46" s="40" t="str">
        <f>(IFERROR(ROUND(VLOOKUP(A46,'Arranjos Consolidados'!$E$3:$BM$303,$K$42,FALSE),0),""))</f>
        <v/>
      </c>
      <c r="L46" s="40" t="str">
        <f>(IFERROR(ROUND(VLOOKUP(A46,'Arranjos Consolidados'!$E$3:$BM$303,$L$42,FALSE),0),""))</f>
        <v/>
      </c>
      <c r="M46" s="54" t="str">
        <f>(IFERROR(ROUND(VLOOKUP(A46,'Arranjos Consolidados'!$E$3:$BM$303,15,FALSE),0),""))</f>
        <v/>
      </c>
      <c r="N46" s="40" t="s">
        <v>9688</v>
      </c>
    </row>
    <row r="47" spans="1:14" ht="16.5" x14ac:dyDescent="0.35">
      <c r="A47" s="41" t="str">
        <f t="shared" si="1"/>
        <v>M1ConsolidadoRT3</v>
      </c>
      <c r="B47" s="41" t="s">
        <v>10325</v>
      </c>
      <c r="C47" s="39" t="s">
        <v>10446</v>
      </c>
      <c r="D47" s="43" t="str">
        <f>(IFERROR(ROUND(VLOOKUP(A47,'Arranjos Consolidados'!$E$3:$BM$303,$D$42,FALSE),0),""))</f>
        <v/>
      </c>
      <c r="E47" s="43" t="str">
        <f>(IFERROR(ROUND(VLOOKUP(A47,'Arranjos Consolidados'!$E$3:$BM$303,$E$42,FALSE),0),""))</f>
        <v/>
      </c>
      <c r="F47" s="42" t="str">
        <f>(IFERROR(ROUND(VLOOKUP(A47,'Arranjos Consolidados'!$E$3:$BM$303,$F$42,FALSE),0),""))</f>
        <v/>
      </c>
      <c r="G47" s="42" t="str">
        <f>(IFERROR(ROUND(VLOOKUP(A47,'Arranjos Consolidados'!$E$3:$BM$303,$G$42,FALSE),0),""))</f>
        <v/>
      </c>
      <c r="H47" s="40" t="str">
        <f>(IFERROR(ROUND(VLOOKUP(A47,'Arranjos Consolidados'!$E$3:$BM$303,$H$42,FALSE),0),""))</f>
        <v/>
      </c>
      <c r="I47" s="40" t="str">
        <f>(IFERROR(ROUND(VLOOKUP(A47,'Arranjos Consolidados'!$E$3:$BM$303,$I$42,FALSE),0),""))</f>
        <v/>
      </c>
      <c r="J47" s="40" t="str">
        <f>(IFERROR(ROUND(VLOOKUP(A47,'Arranjos Consolidados'!$E$3:$BM$303,$J$42,FALSE),0),""))</f>
        <v/>
      </c>
      <c r="K47" s="40" t="str">
        <f>(IFERROR(ROUND(VLOOKUP(A47,'Arranjos Consolidados'!$E$3:$BM$303,$K$42,FALSE),0),""))</f>
        <v/>
      </c>
      <c r="L47" s="40" t="str">
        <f>(IFERROR(ROUND(VLOOKUP(A47,'Arranjos Consolidados'!$E$3:$BM$303,$L$42,FALSE),0),""))</f>
        <v/>
      </c>
      <c r="M47" s="54" t="s">
        <v>9688</v>
      </c>
      <c r="N47" s="40" t="s">
        <v>9688</v>
      </c>
    </row>
    <row r="48" spans="1:14" ht="16.5" x14ac:dyDescent="0.35">
      <c r="A48" s="41" t="str">
        <f t="shared" si="1"/>
        <v>M1ConsolidadoRT4</v>
      </c>
      <c r="B48" s="41" t="s">
        <v>10326</v>
      </c>
      <c r="C48" s="39" t="s">
        <v>10447</v>
      </c>
      <c r="D48" s="43" t="str">
        <f>(IFERROR(ROUND(VLOOKUP(A48,'Arranjos Consolidados'!$E$3:$BM$303,$D$42,FALSE),0),""))</f>
        <v/>
      </c>
      <c r="E48" s="43" t="str">
        <f>(IFERROR(ROUND(VLOOKUP(A48,'Arranjos Consolidados'!$E$3:$BM$303,$E$42,FALSE),0),""))</f>
        <v/>
      </c>
      <c r="F48" s="42" t="str">
        <f>(IFERROR(ROUND(VLOOKUP(A48,'Arranjos Consolidados'!$E$3:$BM$303,$F$42,FALSE),0),""))</f>
        <v/>
      </c>
      <c r="G48" s="42" t="str">
        <f>(IFERROR(ROUND(VLOOKUP(A48,'Arranjos Consolidados'!$E$3:$BM$303,$G$42,FALSE),0),""))</f>
        <v/>
      </c>
      <c r="H48" s="40" t="str">
        <f>(IFERROR(ROUND(VLOOKUP(A48,'Arranjos Consolidados'!$E$3:$BM$303,$H$42,FALSE),0),""))</f>
        <v/>
      </c>
      <c r="I48" s="40" t="str">
        <f>(IFERROR(ROUND(VLOOKUP(A48,'Arranjos Consolidados'!$E$3:$BM$303,$I$42,FALSE),0)*0.75,""))</f>
        <v/>
      </c>
      <c r="J48" s="40" t="str">
        <f>(IFERROR(ROUND(VLOOKUP(A48,'Arranjos Consolidados'!$E$3:$BM$303,$J$42,FALSE),0),""))</f>
        <v/>
      </c>
      <c r="K48" s="40" t="str">
        <f>(IFERROR(ROUND(VLOOKUP(A48,'Arranjos Consolidados'!$E$3:$BM$303,$K$42,FALSE),0)*0.25,""))</f>
        <v/>
      </c>
      <c r="L48" s="40" t="str">
        <f>(IFERROR(ROUND(VLOOKUP(A48,'Arranjos Consolidados'!$E$3:$BM$303,$L$42,FALSE),0),""))</f>
        <v/>
      </c>
      <c r="M48" s="54" t="str">
        <f>(IFERROR(ROUND(VLOOKUP(A48,'Arranjos Consolidados'!$E$3:$BM$303,17,FALSE),0),""))</f>
        <v/>
      </c>
      <c r="N48" s="40" t="s">
        <v>9688</v>
      </c>
    </row>
    <row r="49" spans="1:16" ht="16.5" x14ac:dyDescent="0.35">
      <c r="A49" s="41" t="str">
        <f t="shared" si="1"/>
        <v>M1ConsolidadoRT5</v>
      </c>
      <c r="B49" s="41" t="s">
        <v>10327</v>
      </c>
      <c r="C49" s="39" t="s">
        <v>10448</v>
      </c>
      <c r="D49" s="43" t="str">
        <f>(IFERROR(ROUND(VLOOKUP(A49,'Arranjos Consolidados'!$E$3:$BM$303,$D$42,FALSE),0),""))</f>
        <v/>
      </c>
      <c r="E49" s="43" t="str">
        <f>(IFERROR(ROUND(VLOOKUP(A49,'Arranjos Consolidados'!$E$3:$BM$303,$E$42,FALSE),0),""))</f>
        <v/>
      </c>
      <c r="F49" s="42" t="str">
        <f>(IFERROR(ROUND(VLOOKUP(A49,'Arranjos Consolidados'!$E$3:$BM$303,$F$42,FALSE),0),""))</f>
        <v/>
      </c>
      <c r="G49" s="42" t="str">
        <f>(IFERROR(ROUND(VLOOKUP(A49,'Arranjos Consolidados'!$E$3:$BM$303,$G$42,FALSE),0),""))</f>
        <v/>
      </c>
      <c r="H49" s="40" t="str">
        <f>(IFERROR(ROUND(VLOOKUP(A49,'Arranjos Consolidados'!$E$3:$BM$303,$H$42,FALSE),0),""))</f>
        <v/>
      </c>
      <c r="I49" s="40" t="str">
        <f>(IFERROR(ROUND(VLOOKUP(A49,'Arranjos Consolidados'!$E$3:$BM$303,$I$42,FALSE),0)*0.75,""))</f>
        <v/>
      </c>
      <c r="J49" s="40" t="str">
        <f>(IFERROR(ROUND(VLOOKUP(A49,'Arranjos Consolidados'!$E$3:$BM$303,$J$42,FALSE),0),""))</f>
        <v/>
      </c>
      <c r="K49" s="40" t="str">
        <f>(IFERROR(ROUND(VLOOKUP(A49,'Arranjos Consolidados'!$E$3:$BM$303,$K$42,FALSE),0)*0.25,""))</f>
        <v/>
      </c>
      <c r="L49" s="40" t="str">
        <f>(IFERROR(ROUND(VLOOKUP(A49,'Arranjos Consolidados'!$E$3:$BM$303,$L$42,FALSE),0),""))</f>
        <v/>
      </c>
      <c r="M49" s="54" t="str">
        <f>(IFERROR(ROUND(VLOOKUP(A49,'Arranjos Consolidados'!$E$3:$BM$303,17,FALSE),0),""))</f>
        <v/>
      </c>
      <c r="N49" s="40" t="s">
        <v>9688</v>
      </c>
    </row>
    <row r="50" spans="1:16" ht="16.5" x14ac:dyDescent="0.35">
      <c r="A50" s="41" t="str">
        <f>_xlfn.CONCAT($D$39,$F$39)</f>
        <v>M1Consolidado</v>
      </c>
      <c r="B50" s="51" t="str">
        <f>IFERROR(VLOOKUP(A50,CHOOSE({1,2},'Arranjos Consolidados'!E:E,'Arranjos Consolidados'!D:D),2,FALSE),"")</f>
        <v/>
      </c>
      <c r="C50" s="39" t="s">
        <v>10462</v>
      </c>
      <c r="D50" s="43" t="str">
        <f>(IFERROR(ROUND(VLOOKUP(A50,'Arranjos Consolidados'!$E$3:$BM$303,$D$42,FALSE),0),""))</f>
        <v/>
      </c>
      <c r="E50" s="43" t="str">
        <f>(IFERROR(ROUND(VLOOKUP(A50,'Arranjos Consolidados'!$E$3:$BM$303,$E$42,FALSE),0),""))</f>
        <v/>
      </c>
      <c r="F50" s="42" t="str">
        <f>(IFERROR(ROUND(VLOOKUP(A50,'Arranjos Consolidados'!$E$3:$BM$303,$F$42,FALSE),0),""))</f>
        <v/>
      </c>
      <c r="G50" s="42" t="str">
        <f>(IFERROR(ROUND(VLOOKUP(A50,'Arranjos Consolidados'!$E$3:$BM$303,$G$42,FALSE),0),""))</f>
        <v/>
      </c>
      <c r="H50" s="40"/>
      <c r="I50" s="40"/>
      <c r="J50" s="40"/>
      <c r="K50" s="40"/>
      <c r="L50" s="40"/>
      <c r="M50" s="54"/>
      <c r="N50" s="39"/>
    </row>
    <row r="52" spans="1:16" ht="16.5" x14ac:dyDescent="0.25">
      <c r="D52" s="38" t="s">
        <v>9943</v>
      </c>
      <c r="E52" s="38" t="s">
        <v>9876</v>
      </c>
      <c r="F52" s="87"/>
    </row>
    <row r="53" spans="1:16" ht="16.5" x14ac:dyDescent="0.35">
      <c r="B53" s="41" t="str">
        <f>_xlfn.CONCAT(D53,E53)</f>
        <v>M1A1</v>
      </c>
      <c r="D53" s="40" t="str">
        <f>D39</f>
        <v>M1</v>
      </c>
      <c r="E53" s="40" t="str">
        <f>E39</f>
        <v>A1</v>
      </c>
      <c r="F53" s="29"/>
    </row>
    <row r="56" spans="1:16" ht="16.5" x14ac:dyDescent="0.25">
      <c r="B56" s="101" t="s">
        <v>10547</v>
      </c>
      <c r="D56" s="38" t="s">
        <v>10512</v>
      </c>
      <c r="E56" s="38" t="s">
        <v>10519</v>
      </c>
      <c r="F56" s="38" t="s">
        <v>10533</v>
      </c>
      <c r="G56" s="38" t="s">
        <v>10463</v>
      </c>
      <c r="H56" s="38" t="s">
        <v>10464</v>
      </c>
      <c r="I56" s="38" t="s">
        <v>10465</v>
      </c>
      <c r="J56" s="38" t="s">
        <v>10472</v>
      </c>
      <c r="K56" s="38" t="s">
        <v>10466</v>
      </c>
      <c r="L56" s="38" t="s">
        <v>10467</v>
      </c>
      <c r="M56" s="38" t="s">
        <v>10468</v>
      </c>
      <c r="N56" s="38" t="s">
        <v>10470</v>
      </c>
      <c r="O56" s="38" t="s">
        <v>10567</v>
      </c>
      <c r="P56" s="38" t="s">
        <v>10568</v>
      </c>
    </row>
    <row r="57" spans="1:16" x14ac:dyDescent="0.25">
      <c r="A57" s="40" t="str">
        <f>_xlfn.CONCAT(B53,"SA1")</f>
        <v>M1A1SA1</v>
      </c>
      <c r="B57" s="40" t="str">
        <f>IFERROR(VLOOKUP(A57,CHOOSE({1,2},'Arranjos Consolidados'!E:E,'Arranjos Consolidados'!D:D),2,FALSE),"")</f>
        <v>RT4</v>
      </c>
      <c r="C57" s="39"/>
      <c r="D57" s="40">
        <f>(IFERROR(ROUND(VLOOKUP($A57,'Arranjos Consolidados'!$E$3:$BM$303,21,FALSE),1),""))</f>
        <v>1265.3</v>
      </c>
      <c r="E57" s="40">
        <f>(IFERROR(ROUND(VLOOKUP($A57,'Arranjos Consolidados'!$E$3:$BM$303,5,FALSE),1),""))</f>
        <v>793.3</v>
      </c>
      <c r="F57" s="105">
        <f>(IFERROR(ROUND(VLOOKUP($A57,'Arranjos Consolidados'!$E$3:$BM$303,6,FALSE)*100,1),""))</f>
        <v>124.8</v>
      </c>
      <c r="G57" s="104">
        <f>(IFERROR(ROUND(VLOOKUP($A57,'Arranjos Consolidados'!$E$3:$BM$303,D$42,FALSE),1),""))</f>
        <v>85.3</v>
      </c>
      <c r="H57" s="104">
        <f>(IFERROR(ROUND(VLOOKUP($A57,'Arranjos Consolidados'!$E$3:$BM$303,E$42,FALSE),1),""))</f>
        <v>16</v>
      </c>
      <c r="I57" s="104">
        <f>(IFERROR(ROUND(VLOOKUP($A57,'Arranjos Consolidados'!$E$3:$BM$303,F$42,FALSE),1),""))</f>
        <v>25.7</v>
      </c>
      <c r="J57" s="104">
        <f>(IFERROR(ROUND(VLOOKUP($A57,'Arranjos Consolidados'!$E$3:$BM$303,G$42,FALSE),1),""))</f>
        <v>2.2000000000000002</v>
      </c>
      <c r="K57" s="104">
        <f>(IFERROR(ROUND(VLOOKUP($A57,'Arranjos Consolidados'!$E$3:$BM$303,H$42,FALSE),1),""))</f>
        <v>0</v>
      </c>
      <c r="L57" s="104">
        <f>(IFERROR(ROUND(VLOOKUP($A57,'Arranjos Consolidados'!$E$3:$BM$303,I$42,FALSE),1),""))</f>
        <v>4.7</v>
      </c>
      <c r="M57" s="104">
        <f>(IFERROR(ROUND(VLOOKUP($A57,'Arranjos Consolidados'!$E$3:$BM$303,J$42,FALSE),1),""))</f>
        <v>0</v>
      </c>
      <c r="N57" s="104">
        <f>(IFERROR(ROUND(VLOOKUP($A57,'Arranjos Consolidados'!$E$3:$BM$303,L$42,FALSE),1),""))</f>
        <v>18.8</v>
      </c>
      <c r="O57" s="104">
        <f>(IFERROR(ROUND(VLOOKUP(A57,'Arranjos Consolidados'!$E$3:$BM$303,20,FALSE),0),""))</f>
        <v>0</v>
      </c>
      <c r="P57" s="104">
        <f>(IFERROR(ROUND(VLOOKUP(A57,'Arranjos Consolidados'!$E$3:$BM$303,18,FALSE),0),""))</f>
        <v>0</v>
      </c>
    </row>
    <row r="58" spans="1:16" x14ac:dyDescent="0.25">
      <c r="A58" s="40" t="str">
        <f>_xlfn.CONCAT(B53,"SA2")</f>
        <v>M1A1SA2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105" t="str">
        <f>(IFERROR(ROUND(VLOOKUP($A58,'Arranjos Consolidados'!$E$3:$BM$303,6,FALSE)*100,1),""))</f>
        <v/>
      </c>
      <c r="G58" s="104" t="str">
        <f>(IFERROR(ROUND(VLOOKUP($A58,'Arranjos Consolidados'!$E$3:$BM$303,D$42,FALSE),1),""))</f>
        <v/>
      </c>
      <c r="H58" s="104" t="str">
        <f>(IFERROR(ROUND(VLOOKUP($A58,'Arranjos Consolidados'!$E$3:$BM$303,E$42,FALSE),1),""))</f>
        <v/>
      </c>
      <c r="I58" s="104" t="str">
        <f>(IFERROR(ROUND(VLOOKUP($A58,'Arranjos Consolidados'!$E$3:$BM$303,F$42,FALSE),1),""))</f>
        <v/>
      </c>
      <c r="J58" s="104" t="str">
        <f>(IFERROR(ROUND(VLOOKUP($A58,'Arranjos Consolidados'!$E$3:$BM$303,G$42,FALSE),1),""))</f>
        <v/>
      </c>
      <c r="K58" s="104" t="str">
        <f>(IFERROR(ROUND(VLOOKUP($A58,'Arranjos Consolidados'!$E$3:$BM$303,H$42,FALSE),1),""))</f>
        <v/>
      </c>
      <c r="L58" s="104" t="str">
        <f>(IFERROR(ROUND(VLOOKUP($A58,'Arranjos Consolidados'!$E$3:$BM$303,I$42,FALSE),1),""))</f>
        <v/>
      </c>
      <c r="M58" s="104" t="str">
        <f>(IFERROR(ROUND(VLOOKUP($A58,'Arranjos Consolidados'!$E$3:$BM$303,J$42,FALSE),1),""))</f>
        <v/>
      </c>
      <c r="N58" s="104" t="str">
        <f>(IFERROR(ROUND(VLOOKUP($A58,'Arranjos Consolidados'!$E$3:$BM$303,L$42,FALSE),1),""))</f>
        <v/>
      </c>
      <c r="O58" s="104" t="str">
        <f>(IFERROR(ROUND(VLOOKUP(A58,'Arranjos Consolidados'!$E$3:$BM$303,20,FALSE),0),""))</f>
        <v/>
      </c>
      <c r="P58" s="104" t="str">
        <f>(IFERROR(ROUND(VLOOKUP(A58,'Arranjos Consolidados'!$E$3:$BM$303,18,FALSE),0),""))</f>
        <v/>
      </c>
    </row>
    <row r="59" spans="1:16" x14ac:dyDescent="0.25">
      <c r="A59" s="40" t="str">
        <f>_xlfn.CONCAT(B53,"SA3")</f>
        <v>M1A1SA3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105" t="str">
        <f>(IFERROR(ROUND(VLOOKUP($A59,'Arranjos Consolidados'!$E$3:$BM$303,6,FALSE)*100,1),""))</f>
        <v/>
      </c>
      <c r="G59" s="104" t="str">
        <f>(IFERROR(ROUND(VLOOKUP($A59,'Arranjos Consolidados'!$E$3:$BM$303,D$42,FALSE),1),""))</f>
        <v/>
      </c>
      <c r="H59" s="104" t="str">
        <f>(IFERROR(ROUND(VLOOKUP($A59,'Arranjos Consolidados'!$E$3:$BM$303,E$42,FALSE),1),""))</f>
        <v/>
      </c>
      <c r="I59" s="104" t="str">
        <f>(IFERROR(ROUND(VLOOKUP($A59,'Arranjos Consolidados'!$E$3:$BM$303,F$42,FALSE),1),""))</f>
        <v/>
      </c>
      <c r="J59" s="104" t="str">
        <f>(IFERROR(ROUND(VLOOKUP($A59,'Arranjos Consolidados'!$E$3:$BM$303,G$42,FALSE),1),""))</f>
        <v/>
      </c>
      <c r="K59" s="104" t="str">
        <f>(IFERROR(ROUND(VLOOKUP($A59,'Arranjos Consolidados'!$E$3:$BM$303,H$42,FALSE),1),""))</f>
        <v/>
      </c>
      <c r="L59" s="104" t="str">
        <f>(IFERROR(ROUND(VLOOKUP($A59,'Arranjos Consolidados'!$E$3:$BM$303,I$42,FALSE),1),""))</f>
        <v/>
      </c>
      <c r="M59" s="104" t="str">
        <f>(IFERROR(ROUND(VLOOKUP($A59,'Arranjos Consolidados'!$E$3:$BM$303,J$42,FALSE),1),""))</f>
        <v/>
      </c>
      <c r="N59" s="104" t="str">
        <f>(IFERROR(ROUND(VLOOKUP($A59,'Arranjos Consolidados'!$E$3:$BM$303,L$42,FALSE),1),""))</f>
        <v/>
      </c>
      <c r="O59" s="104" t="str">
        <f>(IFERROR(ROUND(VLOOKUP(A59,'Arranjos Consolidados'!$E$3:$BM$303,20,FALSE),0),""))</f>
        <v/>
      </c>
      <c r="P59" s="104" t="str">
        <f>(IFERROR(ROUND(VLOOKUP(A59,'Arranjos Consolidados'!$E$3:$BM$303,18,FALSE),0),""))</f>
        <v/>
      </c>
    </row>
    <row r="60" spans="1:16" x14ac:dyDescent="0.25">
      <c r="A60" s="40" t="str">
        <f>B53</f>
        <v>M1A1</v>
      </c>
      <c r="B60" s="40" t="s">
        <v>9688</v>
      </c>
      <c r="C60" s="39"/>
      <c r="D60" s="40">
        <f>(IFERROR(ROUND(VLOOKUP($A60,'Arranjos Consolidados'!$E$3:$BM$303,21,FALSE),1),""))</f>
        <v>1265.3</v>
      </c>
      <c r="E60" s="40">
        <f>(IFERROR(ROUND(VLOOKUP($A60,'Arranjos Consolidados'!$E$3:$BM$303,5,FALSE),1),""))</f>
        <v>793.3</v>
      </c>
      <c r="F60" s="105">
        <f>(IFERROR(ROUND(VLOOKUP($A60,'Arranjos Consolidados'!$E$3:$BM$303,6,FALSE)*100,1),""))</f>
        <v>124.8</v>
      </c>
      <c r="G60" s="104">
        <f>(IFERROR(ROUND(VLOOKUP($A60,'Arranjos Consolidados'!$E$3:$BM$303,D$42,FALSE),1),""))</f>
        <v>85.3</v>
      </c>
      <c r="H60" s="104">
        <f>(IFERROR(ROUND(VLOOKUP($A60,'Arranjos Consolidados'!$E$3:$BM$303,E$42,FALSE),1),""))</f>
        <v>16</v>
      </c>
      <c r="I60" s="104">
        <f>(IFERROR(ROUND(VLOOKUP($A60,'Arranjos Consolidados'!$E$3:$BM$303,F$42,FALSE),1),""))</f>
        <v>25.7</v>
      </c>
      <c r="J60" s="104">
        <f>(IFERROR(ROUND(VLOOKUP($A60,'Arranjos Consolidados'!$E$3:$BM$303,G$42,FALSE),1),""))</f>
        <v>2.2000000000000002</v>
      </c>
      <c r="K60" s="104">
        <f>(IFERROR(ROUND(VLOOKUP($A60,'Arranjos Consolidados'!$E$3:$BM$303,H$42,FALSE),1),""))</f>
        <v>0</v>
      </c>
      <c r="L60" s="104">
        <f>(IFERROR(ROUND(VLOOKUP($A60,'Arranjos Consolidados'!$E$3:$BM$303,I$42,FALSE),1),""))</f>
        <v>4.7</v>
      </c>
      <c r="M60" s="104">
        <f>(IFERROR(ROUND(VLOOKUP($A60,'Arranjos Consolidados'!$E$3:$BM$303,J$42,FALSE),1),""))</f>
        <v>0</v>
      </c>
      <c r="N60" s="104">
        <f>(IFERROR(ROUND(VLOOKUP($A60,'Arranjos Consolidados'!$E$3:$BM$303,L$42,FALSE),1),""))</f>
        <v>18.8</v>
      </c>
      <c r="O60" s="104">
        <f>(IFERROR(ROUND(VLOOKUP(A60,'Arranjos Consolidados'!$E$3:$BM$303,20,FALSE),0),""))</f>
        <v>0</v>
      </c>
      <c r="P60" s="104">
        <f>(IFERROR(ROUND(VLOOKUP(A60,'Arranjos Consolidados'!$E$3:$BM$303,18,FALSE),0),""))</f>
        <v>0</v>
      </c>
    </row>
    <row r="61" spans="1:16" x14ac:dyDescent="0.25">
      <c r="D61" s="29"/>
      <c r="E61" s="29"/>
      <c r="F61" s="29"/>
      <c r="G61" s="29"/>
      <c r="H61" s="29"/>
      <c r="I61" s="33"/>
      <c r="J61" s="29"/>
      <c r="K61" s="29"/>
      <c r="L61" s="2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zoomScale="80" zoomScaleNormal="80" workbookViewId="0">
      <selection activeCell="BM69" sqref="BM6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A10"/>
  <sheetViews>
    <sheetView zoomScale="80" zoomScaleNormal="80" workbookViewId="0">
      <selection sqref="A1:C1"/>
    </sheetView>
  </sheetViews>
  <sheetFormatPr defaultRowHeight="15" x14ac:dyDescent="0.25"/>
  <cols>
    <col min="4" max="4" width="14.28515625" bestFit="1" customWidth="1"/>
    <col min="5" max="13" width="14.42578125" customWidth="1"/>
    <col min="14" max="14" width="23.140625" bestFit="1" customWidth="1"/>
    <col min="15" max="18" width="14.42578125" customWidth="1"/>
    <col min="19" max="19" width="33.5703125" bestFit="1" customWidth="1"/>
    <col min="20" max="27" width="14.42578125" customWidth="1"/>
  </cols>
  <sheetData>
    <row r="1" spans="1:27" ht="16.5" customHeight="1" x14ac:dyDescent="0.25">
      <c r="A1" s="119" t="s">
        <v>9943</v>
      </c>
      <c r="B1" s="119"/>
      <c r="C1" s="119"/>
      <c r="D1" s="123" t="s">
        <v>10526</v>
      </c>
      <c r="E1" s="124"/>
      <c r="F1" s="124"/>
      <c r="G1" s="124"/>
      <c r="H1" s="124"/>
      <c r="I1" s="124"/>
      <c r="J1" s="124"/>
      <c r="K1" s="124"/>
      <c r="L1" s="125"/>
      <c r="M1" s="69"/>
      <c r="N1" s="123" t="s">
        <v>10525</v>
      </c>
      <c r="O1" s="124"/>
      <c r="P1" s="124"/>
      <c r="Q1" s="124"/>
      <c r="R1" s="125"/>
      <c r="S1" s="123" t="s">
        <v>10530</v>
      </c>
      <c r="T1" s="124"/>
      <c r="U1" s="124"/>
      <c r="V1" s="124"/>
      <c r="W1" s="125"/>
      <c r="X1" s="119" t="s">
        <v>10533</v>
      </c>
      <c r="Y1" s="119" t="s">
        <v>10534</v>
      </c>
      <c r="Z1" s="119" t="s">
        <v>10535</v>
      </c>
      <c r="AA1" s="119" t="s">
        <v>10536</v>
      </c>
    </row>
    <row r="2" spans="1:27" ht="60" x14ac:dyDescent="0.25">
      <c r="A2" s="120" t="s">
        <v>10459</v>
      </c>
      <c r="B2" s="121"/>
      <c r="C2" s="122"/>
      <c r="D2" s="68" t="s">
        <v>10532</v>
      </c>
      <c r="E2" s="67" t="s">
        <v>10512</v>
      </c>
      <c r="F2" s="67" t="s">
        <v>10513</v>
      </c>
      <c r="G2" s="67" t="s">
        <v>10514</v>
      </c>
      <c r="H2" s="67" t="s">
        <v>10515</v>
      </c>
      <c r="I2" s="67" t="s">
        <v>10516</v>
      </c>
      <c r="J2" s="67" t="s">
        <v>10517</v>
      </c>
      <c r="K2" s="67" t="s">
        <v>10518</v>
      </c>
      <c r="L2" s="67" t="s">
        <v>10519</v>
      </c>
      <c r="M2" s="68" t="s">
        <v>10537</v>
      </c>
      <c r="N2" s="68" t="s">
        <v>10532</v>
      </c>
      <c r="O2" s="67" t="s">
        <v>10522</v>
      </c>
      <c r="P2" s="67" t="s">
        <v>10523</v>
      </c>
      <c r="Q2" s="67" t="s">
        <v>10524</v>
      </c>
      <c r="R2" s="67" t="s">
        <v>10525</v>
      </c>
      <c r="S2" s="68" t="s">
        <v>10532</v>
      </c>
      <c r="T2" s="67" t="s">
        <v>10527</v>
      </c>
      <c r="U2" s="67" t="s">
        <v>10528</v>
      </c>
      <c r="V2" s="67" t="s">
        <v>10529</v>
      </c>
      <c r="W2" s="67" t="s">
        <v>10531</v>
      </c>
      <c r="X2" s="119"/>
      <c r="Y2" s="119"/>
      <c r="Z2" s="119"/>
      <c r="AA2" s="119"/>
    </row>
    <row r="3" spans="1:27" x14ac:dyDescent="0.25">
      <c r="A3" s="71" t="s">
        <v>10455</v>
      </c>
      <c r="B3" s="71" t="str">
        <f>_xlfn.CONCAT($A$2,A3)</f>
        <v>M1A1</v>
      </c>
      <c r="C3" s="71" t="s">
        <v>10520</v>
      </c>
      <c r="D3" s="71" t="str">
        <f>_xlfn.CONCAT($D$1, " - ",B3)</f>
        <v>Esforço - M1A1</v>
      </c>
      <c r="E3" s="71">
        <f>(IFERROR(ROUND(VLOOKUP(B3,'Arranjos Consolidados'!$E$3:$BM$303,25,FALSE),0),""))</f>
        <v>616</v>
      </c>
      <c r="F3" s="71">
        <f>(IFERROR(ROUND(VLOOKUP(B3,'Arranjos Consolidados'!$E$3:$BM$303,23,FALSE),0),""))+(IFERROR(ROUND(VLOOKUP(B3,'Arranjos Consolidados'!$E$3:$BM$303,24,FALSE),0),""))</f>
        <v>649</v>
      </c>
      <c r="G3" s="71">
        <f>E3+F3</f>
        <v>1265</v>
      </c>
      <c r="H3" s="71">
        <f>(IFERROR(ROUND(VLOOKUP(B3,'Arranjos Consolidados'!$E$3:$BM$303,27,FALSE),0),""))</f>
        <v>8</v>
      </c>
      <c r="I3" s="71">
        <f>(IFERROR(ROUND(VLOOKUP(B3,'Arranjos Consolidados'!$E$3:$BM$303,30,FALSE),0),""))</f>
        <v>341</v>
      </c>
      <c r="J3" s="71">
        <f>(IFERROR(ROUND(VLOOKUP(B3,'Arranjos Consolidados'!$E$3:$BM$303,32,FALSE),0),""))</f>
        <v>0</v>
      </c>
      <c r="K3" s="71">
        <f>(IFERROR(ROUND(VLOOKUP(B3,'Arranjos Consolidados'!$E$3:$BM$303,31,FALSE),0),""))</f>
        <v>123</v>
      </c>
      <c r="L3" s="71">
        <f>G3-H3-I3-J3-K3</f>
        <v>793</v>
      </c>
      <c r="M3" s="71">
        <f>G3-L3</f>
        <v>472</v>
      </c>
      <c r="N3" s="71" t="str">
        <f>_xlfn.CONCAT($N$1," - ",B3)</f>
        <v>Ganhos Indiretos - M1A1</v>
      </c>
      <c r="O3" s="71">
        <f>(IFERROR(ROUND(VLOOKUP(B3,'Arranjos Consolidados'!$E$3:$BM$303,44,FALSE),0),""))</f>
        <v>158</v>
      </c>
      <c r="P3" s="71">
        <f>(IFERROR(ROUND(VLOOKUP(B3,'Arranjos Consolidados'!$E$3:$BM$303,48,FALSE),0),""))</f>
        <v>278</v>
      </c>
      <c r="Q3" s="71">
        <f>(IFERROR(ROUND(VLOOKUP(B3,'Arranjos Consolidados'!$E$3:$BM$303,53,FALSE),0),""))</f>
        <v>149</v>
      </c>
      <c r="R3" s="71">
        <f>O3+P3+Q3</f>
        <v>585</v>
      </c>
      <c r="S3" s="71" t="str">
        <f>_xlfn.CONCAT($S$1," - ",B3)</f>
        <v>Desoneração Gestão Pública - M1A1</v>
      </c>
      <c r="T3" s="70">
        <f>(IFERROR(ROUND(VLOOKUP(B3,'Arranjos Consolidados'!$E$3:$BM$303,4,FALSE),0),""))</f>
        <v>200</v>
      </c>
      <c r="U3" s="70">
        <f>(IFERROR(ROUND(VLOOKUP(B3,'Arranjos Consolidados'!$E$3:$BM$303,27,FALSE),0),""))+(IFERROR(ROUND(VLOOKUP(B3,'Arranjos Consolidados'!$E$3:$BM$303,28,FALSE),0),""))</f>
        <v>8</v>
      </c>
      <c r="V3" s="70">
        <f>(IFERROR(ROUND(VLOOKUP(B3,'Arranjos Consolidados'!$E$3:$BM$303,29,FALSE),0),""))+(IFERROR(ROUND(VLOOKUP(B3,'Arranjos Consolidados'!$E$3:$BM$303,30,FALSE),0),""))</f>
        <v>341</v>
      </c>
      <c r="W3" s="70">
        <f>T3+U3+V3</f>
        <v>549</v>
      </c>
      <c r="X3" s="72">
        <f>ROUND((M3+R3+W3-E3)/L3*100,0)</f>
        <v>125</v>
      </c>
      <c r="Y3" s="71" t="str">
        <f>_xlfn.CONCAT("Modicidade Tarifaria (",M3,") + Ganhos Indiretos (",R3,") + Desoneração (",W3,") - Tarifa Bruta (",E3,")")</f>
        <v>Modicidade Tarifaria (472) + Ganhos Indiretos (585) + Desoneração (549) - Tarifa Bruta (616)</v>
      </c>
      <c r="Z3" s="71" t="str">
        <f>_xlfn.CONCAT("TARIFA LÍQUIDA (",L3,")")</f>
        <v>TARIFA LÍQUIDA (793)</v>
      </c>
      <c r="AA3" s="71" t="str">
        <f>_xlfn.CONCAT("EFICIÊNCIA VALORIZAÇÃO = ",X3,"%")</f>
        <v>EFICIÊNCIA VALORIZAÇÃO = 125%</v>
      </c>
    </row>
    <row r="4" spans="1:27" x14ac:dyDescent="0.25">
      <c r="A4" s="71" t="str">
        <f>A3</f>
        <v>A1</v>
      </c>
      <c r="B4" s="71" t="str">
        <f t="shared" ref="B4:B10" si="0">_xlfn.CONCAT($A$2,A4)</f>
        <v>M1A1</v>
      </c>
      <c r="C4" s="71" t="s">
        <v>10521</v>
      </c>
      <c r="D4" s="71" t="str">
        <f t="shared" ref="D4:D10" si="1">_xlfn.CONCAT($D$1, " - ",B4)</f>
        <v>Esforço - M1A1</v>
      </c>
      <c r="E4" s="71">
        <v>0</v>
      </c>
      <c r="F4" s="71">
        <f>E3</f>
        <v>616</v>
      </c>
      <c r="G4" s="71">
        <v>0</v>
      </c>
      <c r="H4" s="71">
        <f>G3-H3</f>
        <v>1257</v>
      </c>
      <c r="I4" s="71">
        <f>H4-I3</f>
        <v>916</v>
      </c>
      <c r="J4" s="71">
        <f>I4-J3</f>
        <v>916</v>
      </c>
      <c r="K4" s="71">
        <f>J4-K3</f>
        <v>793</v>
      </c>
      <c r="L4" s="71">
        <v>0</v>
      </c>
      <c r="M4" s="71" t="s">
        <v>9688</v>
      </c>
      <c r="N4" s="71" t="str">
        <f t="shared" ref="N4:N10" si="2">_xlfn.CONCAT($N$1," - ",B4)</f>
        <v>Ganhos Indiretos - M1A1</v>
      </c>
      <c r="O4" s="71">
        <v>0</v>
      </c>
      <c r="P4" s="71">
        <f>O3+O4</f>
        <v>158</v>
      </c>
      <c r="Q4" s="71">
        <f>P3+P4</f>
        <v>436</v>
      </c>
      <c r="R4" s="71">
        <v>0</v>
      </c>
      <c r="S4" s="71" t="str">
        <f t="shared" ref="S4:S10" si="3">_xlfn.CONCAT($S$1," - ",B4)</f>
        <v>Desoneração Gestão Pública - M1A1</v>
      </c>
      <c r="T4" s="70">
        <v>0</v>
      </c>
      <c r="U4" s="70">
        <f>T3+T4</f>
        <v>200</v>
      </c>
      <c r="V4" s="70">
        <f>U3+U4</f>
        <v>208</v>
      </c>
      <c r="W4" s="70">
        <v>0</v>
      </c>
      <c r="X4" s="72" t="s">
        <v>9688</v>
      </c>
      <c r="Y4" s="71" t="s">
        <v>9688</v>
      </c>
      <c r="Z4" s="71" t="s">
        <v>9688</v>
      </c>
      <c r="AA4" s="71" t="s">
        <v>9688</v>
      </c>
    </row>
    <row r="5" spans="1:27" x14ac:dyDescent="0.25">
      <c r="A5" s="71" t="s">
        <v>10571</v>
      </c>
      <c r="B5" s="71" t="str">
        <f t="shared" si="0"/>
        <v>M1A2</v>
      </c>
      <c r="C5" s="71" t="s">
        <v>10520</v>
      </c>
      <c r="D5" s="71" t="str">
        <f t="shared" si="1"/>
        <v>Esforço - M1A2</v>
      </c>
      <c r="E5" s="71">
        <f>(IFERROR(ROUND(VLOOKUP(B5,'Arranjos Consolidados'!$E$3:$BM$303,25,FALSE),0),""))</f>
        <v>616</v>
      </c>
      <c r="F5" s="71">
        <f>(IFERROR(ROUND(VLOOKUP(B5,'Arranjos Consolidados'!$E$3:$BM$303,23,FALSE),0),""))+(IFERROR(ROUND(VLOOKUP(B5,'Arranjos Consolidados'!$E$3:$BM$303,24,FALSE),0),""))</f>
        <v>649</v>
      </c>
      <c r="G5" s="71">
        <f>E5+F5</f>
        <v>1265</v>
      </c>
      <c r="H5" s="71">
        <f>(IFERROR(ROUND(VLOOKUP(B5,'Arranjos Consolidados'!$E$3:$BM$303,27,FALSE),0),""))</f>
        <v>8</v>
      </c>
      <c r="I5" s="71">
        <f>(IFERROR(ROUND(VLOOKUP(B5,'Arranjos Consolidados'!$E$3:$BM$303,30,FALSE),0),""))</f>
        <v>341</v>
      </c>
      <c r="J5" s="71">
        <f>(IFERROR(ROUND(VLOOKUP(B5,'Arranjos Consolidados'!$E$3:$BM$303,32,FALSE),0),""))</f>
        <v>0</v>
      </c>
      <c r="K5" s="71">
        <f>(IFERROR(ROUND(VLOOKUP(B5,'Arranjos Consolidados'!$E$3:$BM$303,31,FALSE),0),""))</f>
        <v>123</v>
      </c>
      <c r="L5" s="71">
        <f>G5-H5-I5-J5-K5</f>
        <v>793</v>
      </c>
      <c r="M5" s="71">
        <f t="shared" ref="M5:M9" si="4">G5-L5</f>
        <v>472</v>
      </c>
      <c r="N5" s="71" t="str">
        <f t="shared" si="2"/>
        <v>Ganhos Indiretos - M1A2</v>
      </c>
      <c r="O5" s="71">
        <f>(IFERROR(ROUND(VLOOKUP(B5,'Arranjos Consolidados'!$E$3:$BM$303,44,FALSE),0),""))</f>
        <v>158</v>
      </c>
      <c r="P5" s="71">
        <f>(IFERROR(ROUND(VLOOKUP(B5,'Arranjos Consolidados'!$E$3:$BM$303,48,FALSE),0),""))</f>
        <v>278</v>
      </c>
      <c r="Q5" s="71">
        <f>(IFERROR(ROUND(VLOOKUP(B5,'Arranjos Consolidados'!$E$3:$BM$303,53,FALSE),0),""))</f>
        <v>149</v>
      </c>
      <c r="R5" s="71">
        <f>O5+P5+Q5</f>
        <v>585</v>
      </c>
      <c r="S5" s="71" t="str">
        <f t="shared" si="3"/>
        <v>Desoneração Gestão Pública - M1A2</v>
      </c>
      <c r="T5" s="70">
        <f>(IFERROR(ROUND(VLOOKUP(B5,'Arranjos Consolidados'!$E$3:$BM$303,4,FALSE),0),""))</f>
        <v>200</v>
      </c>
      <c r="U5" s="70">
        <f>(IFERROR(ROUND(VLOOKUP(B5,'Arranjos Consolidados'!$E$3:$BM$303,27,FALSE),0),""))+(IFERROR(ROUND(VLOOKUP(B5,'Arranjos Consolidados'!$E$3:$BM$303,28,FALSE),0),""))</f>
        <v>8</v>
      </c>
      <c r="V5" s="70">
        <f>(IFERROR(ROUND(VLOOKUP(B5,'Arranjos Consolidados'!$E$3:$BM$303,29,FALSE),0),""))+(IFERROR(ROUND(VLOOKUP(B5,'Arranjos Consolidados'!$E$3:$BM$303,30,FALSE),0),""))</f>
        <v>341</v>
      </c>
      <c r="W5" s="70">
        <f>T5+U5+V5</f>
        <v>549</v>
      </c>
      <c r="X5" s="72">
        <f t="shared" ref="X5:X9" si="5">ROUND((M5+R5+W5-E5)/L5*100,0)</f>
        <v>125</v>
      </c>
      <c r="Y5" s="71" t="str">
        <f t="shared" ref="Y5:Y9" si="6">_xlfn.CONCAT("Modicidade Tarifaria (",M5,") + Ganhos Indiretos (",R5,") + Desoneração (",W5,") - Tarifa Bruta (",E5,")")</f>
        <v>Modicidade Tarifaria (472) + Ganhos Indiretos (585) + Desoneração (549) - Tarifa Bruta (616)</v>
      </c>
      <c r="Z5" s="71" t="str">
        <f t="shared" ref="Z5:Z9" si="7">_xlfn.CONCAT("TARIFA LÍQUIDA (",L5,")")</f>
        <v>TARIFA LÍQUIDA (793)</v>
      </c>
      <c r="AA5" s="71" t="str">
        <f t="shared" ref="AA5:AA9" si="8">_xlfn.CONCAT("EFICIÊNCIA VALORIZAÇÃO = ",X5,"%")</f>
        <v>EFICIÊNCIA VALORIZAÇÃO = 125%</v>
      </c>
    </row>
    <row r="6" spans="1:27" x14ac:dyDescent="0.25">
      <c r="A6" s="71" t="str">
        <f>A5</f>
        <v>A2</v>
      </c>
      <c r="B6" s="71" t="str">
        <f t="shared" si="0"/>
        <v>M1A2</v>
      </c>
      <c r="C6" s="71" t="s">
        <v>10521</v>
      </c>
      <c r="D6" s="71" t="str">
        <f t="shared" si="1"/>
        <v>Esforço - M1A2</v>
      </c>
      <c r="E6" s="71">
        <v>0</v>
      </c>
      <c r="F6" s="71">
        <f>E5</f>
        <v>616</v>
      </c>
      <c r="G6" s="71">
        <v>0</v>
      </c>
      <c r="H6" s="71">
        <f>G5-H5</f>
        <v>1257</v>
      </c>
      <c r="I6" s="71">
        <f>H6-I5</f>
        <v>916</v>
      </c>
      <c r="J6" s="71">
        <f>I6-J5</f>
        <v>916</v>
      </c>
      <c r="K6" s="71">
        <f>J6-K5</f>
        <v>793</v>
      </c>
      <c r="L6" s="71">
        <v>0</v>
      </c>
      <c r="M6" s="71" t="s">
        <v>9688</v>
      </c>
      <c r="N6" s="71" t="str">
        <f t="shared" si="2"/>
        <v>Ganhos Indiretos - M1A2</v>
      </c>
      <c r="O6" s="71">
        <v>0</v>
      </c>
      <c r="P6" s="71">
        <f>O5+O6</f>
        <v>158</v>
      </c>
      <c r="Q6" s="71">
        <f>P5+P6</f>
        <v>436</v>
      </c>
      <c r="R6" s="71">
        <v>0</v>
      </c>
      <c r="S6" s="71" t="str">
        <f t="shared" si="3"/>
        <v>Desoneração Gestão Pública - M1A2</v>
      </c>
      <c r="T6" s="70">
        <v>0</v>
      </c>
      <c r="U6" s="70">
        <f>T5+T6</f>
        <v>200</v>
      </c>
      <c r="V6" s="70">
        <f>U5+U6</f>
        <v>208</v>
      </c>
      <c r="W6" s="70">
        <v>0</v>
      </c>
      <c r="X6" s="72" t="s">
        <v>9688</v>
      </c>
      <c r="Y6" s="71" t="s">
        <v>9688</v>
      </c>
      <c r="Z6" s="71" t="s">
        <v>9688</v>
      </c>
      <c r="AA6" s="71" t="s">
        <v>9688</v>
      </c>
    </row>
    <row r="7" spans="1:27" x14ac:dyDescent="0.25">
      <c r="A7" s="71" t="s">
        <v>10457</v>
      </c>
      <c r="B7" s="71" t="str">
        <f t="shared" si="0"/>
        <v>M1A3</v>
      </c>
      <c r="C7" s="71" t="s">
        <v>10520</v>
      </c>
      <c r="D7" s="71" t="str">
        <f t="shared" si="1"/>
        <v>Esforço - M1A3</v>
      </c>
      <c r="E7" s="71">
        <f>(IFERROR(ROUND(VLOOKUP(B7,'Arranjos Consolidados'!$E$3:$BM$303,25,FALSE),0),""))</f>
        <v>612</v>
      </c>
      <c r="F7" s="71">
        <f>(IFERROR(ROUND(VLOOKUP(B7,'Arranjos Consolidados'!$E$3:$BM$303,23,FALSE),0),""))+(IFERROR(ROUND(VLOOKUP(B7,'Arranjos Consolidados'!$E$3:$BM$303,24,FALSE),0),""))</f>
        <v>547</v>
      </c>
      <c r="G7" s="71">
        <f>E7+F7</f>
        <v>1159</v>
      </c>
      <c r="H7" s="71">
        <f>(IFERROR(ROUND(VLOOKUP(B7,'Arranjos Consolidados'!$E$3:$BM$303,27,FALSE),0),""))</f>
        <v>5</v>
      </c>
      <c r="I7" s="71">
        <f>(IFERROR(ROUND(VLOOKUP(B7,'Arranjos Consolidados'!$E$3:$BM$303,30,FALSE),0),""))</f>
        <v>348</v>
      </c>
      <c r="J7" s="71">
        <f>(IFERROR(ROUND(VLOOKUP(B7,'Arranjos Consolidados'!$E$3:$BM$303,32,FALSE),0),""))</f>
        <v>0</v>
      </c>
      <c r="K7" s="71">
        <f>(IFERROR(ROUND(VLOOKUP(B7,'Arranjos Consolidados'!$E$3:$BM$303,31,FALSE),0),""))</f>
        <v>123</v>
      </c>
      <c r="L7" s="71">
        <f>G7-H7-I7-J7-K7</f>
        <v>683</v>
      </c>
      <c r="M7" s="71">
        <f t="shared" si="4"/>
        <v>476</v>
      </c>
      <c r="N7" s="71" t="str">
        <f t="shared" si="2"/>
        <v>Ganhos Indiretos - M1A3</v>
      </c>
      <c r="O7" s="71">
        <f>(IFERROR(ROUND(VLOOKUP(B7,'Arranjos Consolidados'!$E$3:$BM$303,44,FALSE),0),""))</f>
        <v>166</v>
      </c>
      <c r="P7" s="71">
        <f>(IFERROR(ROUND(VLOOKUP(B7,'Arranjos Consolidados'!$E$3:$BM$303,48,FALSE),0),""))</f>
        <v>307</v>
      </c>
      <c r="Q7" s="71">
        <f>(IFERROR(ROUND(VLOOKUP(B7,'Arranjos Consolidados'!$E$3:$BM$303,53,FALSE),0),""))</f>
        <v>152</v>
      </c>
      <c r="R7" s="71">
        <f>O7+P7+Q7</f>
        <v>625</v>
      </c>
      <c r="S7" s="71" t="str">
        <f t="shared" si="3"/>
        <v>Desoneração Gestão Pública - M1A3</v>
      </c>
      <c r="T7" s="70">
        <f>(IFERROR(ROUND(VLOOKUP(B7,'Arranjos Consolidados'!$E$3:$BM$303,4,FALSE),0),""))</f>
        <v>200</v>
      </c>
      <c r="U7" s="70">
        <f>(IFERROR(ROUND(VLOOKUP(B7,'Arranjos Consolidados'!$E$3:$BM$303,27,FALSE),0),""))+(IFERROR(ROUND(VLOOKUP(B7,'Arranjos Consolidados'!$E$3:$BM$303,28,FALSE),0),""))</f>
        <v>5</v>
      </c>
      <c r="V7" s="70">
        <f>(IFERROR(ROUND(VLOOKUP(B7,'Arranjos Consolidados'!$E$3:$BM$303,29,FALSE),0),""))+(IFERROR(ROUND(VLOOKUP(B7,'Arranjos Consolidados'!$E$3:$BM$303,30,FALSE),0),""))</f>
        <v>348</v>
      </c>
      <c r="W7" s="70">
        <f>T7+U7+V7</f>
        <v>553</v>
      </c>
      <c r="X7" s="72">
        <f t="shared" si="5"/>
        <v>153</v>
      </c>
      <c r="Y7" s="71" t="str">
        <f t="shared" si="6"/>
        <v>Modicidade Tarifaria (476) + Ganhos Indiretos (625) + Desoneração (553) - Tarifa Bruta (612)</v>
      </c>
      <c r="Z7" s="71" t="str">
        <f t="shared" si="7"/>
        <v>TARIFA LÍQUIDA (683)</v>
      </c>
      <c r="AA7" s="71" t="str">
        <f t="shared" si="8"/>
        <v>EFICIÊNCIA VALORIZAÇÃO = 153%</v>
      </c>
    </row>
    <row r="8" spans="1:27" x14ac:dyDescent="0.25">
      <c r="A8" s="71" t="str">
        <f>A7</f>
        <v>A3</v>
      </c>
      <c r="B8" s="71" t="str">
        <f t="shared" si="0"/>
        <v>M1A3</v>
      </c>
      <c r="C8" s="71" t="s">
        <v>10521</v>
      </c>
      <c r="D8" s="71" t="str">
        <f t="shared" si="1"/>
        <v>Esforço - M1A3</v>
      </c>
      <c r="E8" s="71">
        <v>0</v>
      </c>
      <c r="F8" s="71">
        <f>E7</f>
        <v>612</v>
      </c>
      <c r="G8" s="71">
        <v>0</v>
      </c>
      <c r="H8" s="71">
        <f>G7-H7</f>
        <v>1154</v>
      </c>
      <c r="I8" s="71">
        <f>H8-I7</f>
        <v>806</v>
      </c>
      <c r="J8" s="71">
        <f>I8-J7</f>
        <v>806</v>
      </c>
      <c r="K8" s="71">
        <f>J8-K7</f>
        <v>683</v>
      </c>
      <c r="L8" s="71">
        <v>0</v>
      </c>
      <c r="M8" s="71" t="s">
        <v>9688</v>
      </c>
      <c r="N8" s="71" t="str">
        <f t="shared" si="2"/>
        <v>Ganhos Indiretos - M1A3</v>
      </c>
      <c r="O8" s="71">
        <v>0</v>
      </c>
      <c r="P8" s="71">
        <f>O7+O8</f>
        <v>166</v>
      </c>
      <c r="Q8" s="71">
        <f>P7+P8</f>
        <v>473</v>
      </c>
      <c r="R8" s="71">
        <v>0</v>
      </c>
      <c r="S8" s="71" t="str">
        <f t="shared" si="3"/>
        <v>Desoneração Gestão Pública - M1A3</v>
      </c>
      <c r="T8" s="70">
        <v>0</v>
      </c>
      <c r="U8" s="70">
        <f>T7+T8</f>
        <v>200</v>
      </c>
      <c r="V8" s="70">
        <f>U7+U8</f>
        <v>205</v>
      </c>
      <c r="W8" s="70">
        <v>0</v>
      </c>
      <c r="X8" s="72" t="s">
        <v>9688</v>
      </c>
      <c r="Y8" s="71" t="s">
        <v>9688</v>
      </c>
      <c r="Z8" s="71" t="s">
        <v>9688</v>
      </c>
      <c r="AA8" s="71" t="s">
        <v>9688</v>
      </c>
    </row>
    <row r="9" spans="1:27" x14ac:dyDescent="0.25">
      <c r="A9" s="71" t="s">
        <v>10320</v>
      </c>
      <c r="B9" s="71" t="str">
        <f t="shared" si="0"/>
        <v>M1A4</v>
      </c>
      <c r="C9" s="71" t="s">
        <v>10520</v>
      </c>
      <c r="D9" s="71" t="str">
        <f t="shared" si="1"/>
        <v>Esforço - M1A4</v>
      </c>
      <c r="E9" s="71">
        <f>(IFERROR(ROUND(VLOOKUP(B9,'Arranjos Consolidados'!$E$3:$BM$303,25,FALSE),0),""))</f>
        <v>541</v>
      </c>
      <c r="F9" s="71">
        <f>(IFERROR(ROUND(VLOOKUP(B9,'Arranjos Consolidados'!$E$3:$BM$303,23,FALSE),0),""))+(IFERROR(ROUND(VLOOKUP(B9,'Arranjos Consolidados'!$E$3:$BM$303,24,FALSE),0),""))</f>
        <v>535</v>
      </c>
      <c r="G9" s="71">
        <f>E9+F9</f>
        <v>1076</v>
      </c>
      <c r="H9" s="71">
        <f>(IFERROR(ROUND(VLOOKUP(B9,'Arranjos Consolidados'!$E$3:$BM$303,27,FALSE),0),""))</f>
        <v>5</v>
      </c>
      <c r="I9" s="71">
        <f>(IFERROR(ROUND(VLOOKUP(B9,'Arranjos Consolidados'!$E$3:$BM$303,30,FALSE),0),""))</f>
        <v>282</v>
      </c>
      <c r="J9" s="71">
        <f>(IFERROR(ROUND(VLOOKUP(B9,'Arranjos Consolidados'!$E$3:$BM$303,32,FALSE),0),""))</f>
        <v>0</v>
      </c>
      <c r="K9" s="71">
        <f>(IFERROR(ROUND(VLOOKUP(B9,'Arranjos Consolidados'!$E$3:$BM$303,31,FALSE),0),""))</f>
        <v>118</v>
      </c>
      <c r="L9" s="71">
        <f>G9-H9-I9-J9-K9</f>
        <v>671</v>
      </c>
      <c r="M9" s="71">
        <f t="shared" si="4"/>
        <v>405</v>
      </c>
      <c r="N9" s="71" t="str">
        <f t="shared" si="2"/>
        <v>Ganhos Indiretos - M1A4</v>
      </c>
      <c r="O9" s="71">
        <f>(IFERROR(ROUND(VLOOKUP(B9,'Arranjos Consolidados'!$E$3:$BM$303,44,FALSE),0),""))</f>
        <v>155</v>
      </c>
      <c r="P9" s="71">
        <f>(IFERROR(ROUND(VLOOKUP(B9,'Arranjos Consolidados'!$E$3:$BM$303,48,FALSE),0),""))</f>
        <v>316</v>
      </c>
      <c r="Q9" s="71">
        <f>(IFERROR(ROUND(VLOOKUP(B9,'Arranjos Consolidados'!$E$3:$BM$303,53,FALSE),0),""))</f>
        <v>149</v>
      </c>
      <c r="R9" s="71">
        <f>O9+P9+Q9</f>
        <v>620</v>
      </c>
      <c r="S9" s="71" t="str">
        <f t="shared" si="3"/>
        <v>Desoneração Gestão Pública - M1A4</v>
      </c>
      <c r="T9" s="70">
        <f>(IFERROR(ROUND(VLOOKUP(B9,'Arranjos Consolidados'!$E$3:$BM$303,4,FALSE),0),""))</f>
        <v>200</v>
      </c>
      <c r="U9" s="70">
        <f>(IFERROR(ROUND(VLOOKUP(B9,'Arranjos Consolidados'!$E$3:$BM$303,27,FALSE),0),""))+(IFERROR(ROUND(VLOOKUP(B9,'Arranjos Consolidados'!$E$3:$BM$303,28,FALSE),0),""))</f>
        <v>5</v>
      </c>
      <c r="V9" s="70">
        <f>(IFERROR(ROUND(VLOOKUP(B9,'Arranjos Consolidados'!$E$3:$BM$303,29,FALSE),0),""))+(IFERROR(ROUND(VLOOKUP(B9,'Arranjos Consolidados'!$E$3:$BM$303,30,FALSE),0),""))</f>
        <v>282</v>
      </c>
      <c r="W9" s="70">
        <f>T9+U9+V9</f>
        <v>487</v>
      </c>
      <c r="X9" s="72">
        <f t="shared" si="5"/>
        <v>145</v>
      </c>
      <c r="Y9" s="71" t="str">
        <f t="shared" si="6"/>
        <v>Modicidade Tarifaria (405) + Ganhos Indiretos (620) + Desoneração (487) - Tarifa Bruta (541)</v>
      </c>
      <c r="Z9" s="71" t="str">
        <f t="shared" si="7"/>
        <v>TARIFA LÍQUIDA (671)</v>
      </c>
      <c r="AA9" s="71" t="str">
        <f t="shared" si="8"/>
        <v>EFICIÊNCIA VALORIZAÇÃO = 145%</v>
      </c>
    </row>
    <row r="10" spans="1:27" x14ac:dyDescent="0.25">
      <c r="A10" s="71" t="str">
        <f>A9</f>
        <v>A4</v>
      </c>
      <c r="B10" s="71" t="str">
        <f t="shared" si="0"/>
        <v>M1A4</v>
      </c>
      <c r="C10" s="71" t="s">
        <v>10521</v>
      </c>
      <c r="D10" s="71" t="str">
        <f t="shared" si="1"/>
        <v>Esforço - M1A4</v>
      </c>
      <c r="E10" s="71">
        <v>0</v>
      </c>
      <c r="F10" s="71">
        <f>E9</f>
        <v>541</v>
      </c>
      <c r="G10" s="71">
        <v>0</v>
      </c>
      <c r="H10" s="71">
        <f>G9-H9</f>
        <v>1071</v>
      </c>
      <c r="I10" s="71">
        <f>H10-I9</f>
        <v>789</v>
      </c>
      <c r="J10" s="71">
        <f>I10-J9</f>
        <v>789</v>
      </c>
      <c r="K10" s="71">
        <f>J10-K9</f>
        <v>671</v>
      </c>
      <c r="L10" s="71">
        <v>0</v>
      </c>
      <c r="M10" s="71" t="s">
        <v>9688</v>
      </c>
      <c r="N10" s="71" t="str">
        <f t="shared" si="2"/>
        <v>Ganhos Indiretos - M1A4</v>
      </c>
      <c r="O10" s="71">
        <v>0</v>
      </c>
      <c r="P10" s="71">
        <f>O9+O10</f>
        <v>155</v>
      </c>
      <c r="Q10" s="71">
        <f>P9+P10</f>
        <v>471</v>
      </c>
      <c r="R10" s="71">
        <v>0</v>
      </c>
      <c r="S10" s="71" t="str">
        <f t="shared" si="3"/>
        <v>Desoneração Gestão Pública - M1A4</v>
      </c>
      <c r="T10" s="70">
        <v>0</v>
      </c>
      <c r="U10" s="70">
        <f>T9+T10</f>
        <v>200</v>
      </c>
      <c r="V10" s="70">
        <f>U9+U10</f>
        <v>205</v>
      </c>
      <c r="W10" s="70">
        <v>0</v>
      </c>
      <c r="X10" s="72" t="s">
        <v>9688</v>
      </c>
      <c r="Y10" s="71" t="s">
        <v>9688</v>
      </c>
      <c r="Z10" s="70" t="s">
        <v>9688</v>
      </c>
      <c r="AA10" s="70" t="s">
        <v>9688</v>
      </c>
    </row>
  </sheetData>
  <mergeCells count="9">
    <mergeCell ref="X1:X2"/>
    <mergeCell ref="Y1:Y2"/>
    <mergeCell ref="Z1:Z2"/>
    <mergeCell ref="AA1:AA2"/>
    <mergeCell ref="A2:C2"/>
    <mergeCell ref="A1:C1"/>
    <mergeCell ref="D1:L1"/>
    <mergeCell ref="N1:R1"/>
    <mergeCell ref="S1:W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4:K4 F5:K5 F6:J8 K6:K8 F9:K9 P4:R9 U4:V8 U9:V9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70" zoomScaleNormal="70" workbookViewId="0">
      <selection activeCell="U40" sqref="U40"/>
    </sheetView>
  </sheetViews>
  <sheetFormatPr defaultRowHeight="15" x14ac:dyDescent="0.25"/>
  <cols>
    <col min="1" max="21" width="9.140625" customWidth="1"/>
  </cols>
  <sheetData>
    <row r="11" spans="6:21" x14ac:dyDescent="0.25">
      <c r="F11" s="62"/>
      <c r="G11" s="62"/>
      <c r="H11" s="62"/>
      <c r="I11" s="62"/>
      <c r="J11" s="62"/>
      <c r="K11" s="62"/>
      <c r="L11" s="62"/>
      <c r="M11" s="62"/>
      <c r="N11" s="62"/>
      <c r="O11" s="62"/>
    </row>
    <row r="12" spans="6:21" ht="15.75" x14ac:dyDescent="0.25">
      <c r="F12" s="63"/>
      <c r="G12" s="63"/>
      <c r="H12" s="64"/>
      <c r="I12" s="64"/>
      <c r="J12" s="64"/>
      <c r="K12" s="64"/>
      <c r="L12" s="64"/>
      <c r="M12" s="64"/>
      <c r="N12" s="64"/>
      <c r="O12" s="64"/>
    </row>
    <row r="13" spans="6:21" x14ac:dyDescent="0.25">
      <c r="F13" s="65"/>
      <c r="G13" s="65"/>
      <c r="H13" s="66"/>
      <c r="I13" s="66"/>
      <c r="J13" s="66"/>
      <c r="K13" s="66"/>
      <c r="L13" s="66"/>
      <c r="M13" s="66"/>
      <c r="N13" s="66"/>
      <c r="O13" s="66"/>
    </row>
    <row r="14" spans="6:21" x14ac:dyDescent="0.25">
      <c r="F14" s="65"/>
      <c r="G14" s="65"/>
      <c r="H14" s="66"/>
      <c r="I14" s="66"/>
      <c r="J14" s="66"/>
      <c r="K14" s="66"/>
      <c r="L14" s="66"/>
      <c r="M14" s="66"/>
      <c r="N14" s="66"/>
      <c r="O14" s="66"/>
    </row>
    <row r="15" spans="6:21" ht="15.75" x14ac:dyDescent="0.25">
      <c r="F15" s="63"/>
      <c r="G15" s="63"/>
      <c r="H15" s="66"/>
      <c r="I15" s="64"/>
      <c r="J15" s="64"/>
      <c r="K15" s="64"/>
      <c r="L15" s="64"/>
      <c r="M15" s="64"/>
      <c r="N15" s="64"/>
      <c r="O15" s="64"/>
      <c r="S15" s="29"/>
      <c r="T15" s="29"/>
      <c r="U15" s="29"/>
    </row>
    <row r="16" spans="6:21" x14ac:dyDescent="0.25">
      <c r="F16" s="65"/>
      <c r="G16" s="65"/>
      <c r="H16" s="66"/>
      <c r="I16" s="66"/>
      <c r="J16" s="66"/>
      <c r="K16" s="66"/>
      <c r="L16" s="66"/>
      <c r="M16" s="66"/>
      <c r="N16" s="66"/>
      <c r="O16" s="66"/>
      <c r="S16" s="61"/>
      <c r="T16" s="29"/>
      <c r="U16" s="29"/>
    </row>
    <row r="17" spans="6:21" x14ac:dyDescent="0.25">
      <c r="F17" s="65"/>
      <c r="G17" s="65"/>
      <c r="H17" s="66"/>
      <c r="I17" s="66"/>
      <c r="J17" s="66"/>
      <c r="K17" s="66"/>
      <c r="L17" s="66"/>
      <c r="M17" s="66"/>
      <c r="N17" s="66"/>
      <c r="O17" s="66"/>
      <c r="S17" s="61"/>
      <c r="T17" s="29"/>
      <c r="U17" s="29"/>
    </row>
    <row r="18" spans="6:21" ht="15.75" x14ac:dyDescent="0.25">
      <c r="F18" s="63"/>
      <c r="G18" s="63"/>
      <c r="H18" s="66"/>
      <c r="I18" s="64"/>
      <c r="J18" s="64"/>
      <c r="K18" s="64"/>
      <c r="L18" s="64"/>
      <c r="M18" s="64"/>
      <c r="N18" s="64"/>
      <c r="O18" s="64"/>
      <c r="S18" s="61"/>
      <c r="T18" s="29"/>
      <c r="U18" s="29"/>
    </row>
    <row r="19" spans="6:21" x14ac:dyDescent="0.25">
      <c r="F19" s="65"/>
      <c r="G19" s="65"/>
      <c r="H19" s="66"/>
      <c r="I19" s="66"/>
      <c r="J19" s="66"/>
      <c r="K19" s="66"/>
      <c r="L19" s="66"/>
      <c r="M19" s="66"/>
      <c r="N19" s="66"/>
      <c r="O19" s="66"/>
      <c r="S19" s="61"/>
      <c r="T19" s="29"/>
      <c r="U19" s="29"/>
    </row>
    <row r="20" spans="6:21" x14ac:dyDescent="0.25">
      <c r="F20" s="65"/>
      <c r="G20" s="65"/>
      <c r="H20" s="66"/>
      <c r="I20" s="66"/>
      <c r="J20" s="66"/>
      <c r="K20" s="66"/>
      <c r="L20" s="66"/>
      <c r="M20" s="66"/>
      <c r="N20" s="66"/>
      <c r="O20" s="66"/>
      <c r="S20" s="61"/>
      <c r="T20" s="29"/>
      <c r="U20" s="29"/>
    </row>
    <row r="21" spans="6:21" ht="15.75" x14ac:dyDescent="0.25">
      <c r="F21" s="63"/>
      <c r="G21" s="63"/>
      <c r="H21" s="64"/>
      <c r="I21" s="64"/>
      <c r="J21" s="64"/>
      <c r="K21" s="64"/>
      <c r="L21" s="64"/>
      <c r="M21" s="64"/>
      <c r="N21" s="64"/>
      <c r="O21" s="64"/>
      <c r="S21" s="61"/>
      <c r="T21" s="29"/>
      <c r="U21" s="29"/>
    </row>
    <row r="22" spans="6:21" x14ac:dyDescent="0.25">
      <c r="F22" s="65"/>
      <c r="G22" s="65"/>
      <c r="H22" s="66"/>
      <c r="I22" s="66"/>
      <c r="J22" s="66"/>
      <c r="K22" s="66"/>
      <c r="L22" s="66"/>
      <c r="M22" s="66"/>
      <c r="N22" s="66"/>
      <c r="O22" s="66"/>
      <c r="S22" s="61"/>
      <c r="T22" s="29"/>
      <c r="U22" s="29"/>
    </row>
    <row r="23" spans="6:21" x14ac:dyDescent="0.25">
      <c r="F23" s="65"/>
      <c r="G23" s="65"/>
      <c r="H23" s="66"/>
      <c r="I23" s="66"/>
      <c r="J23" s="66"/>
      <c r="K23" s="66"/>
      <c r="L23" s="66"/>
      <c r="M23" s="66"/>
      <c r="N23" s="66"/>
      <c r="O23" s="66"/>
      <c r="S23" s="61"/>
      <c r="T23" s="29"/>
      <c r="U23" s="29"/>
    </row>
    <row r="24" spans="6:21" x14ac:dyDescent="0.25">
      <c r="F24" s="65"/>
      <c r="G24" s="65"/>
      <c r="H24" s="66"/>
      <c r="I24" s="66"/>
      <c r="J24" s="66"/>
      <c r="K24" s="66"/>
      <c r="L24" s="66"/>
      <c r="M24" s="66"/>
      <c r="N24" s="66"/>
      <c r="O24" s="66"/>
    </row>
    <row r="25" spans="6:21" x14ac:dyDescent="0.25">
      <c r="F25" s="65"/>
      <c r="G25" s="65"/>
      <c r="H25" s="66"/>
      <c r="I25" s="66"/>
      <c r="J25" s="66"/>
      <c r="K25" s="66"/>
      <c r="L25" s="66"/>
      <c r="M25" s="66"/>
      <c r="N25" s="66"/>
      <c r="O25" s="66"/>
    </row>
    <row r="26" spans="6:21" ht="16.5" customHeight="1" x14ac:dyDescent="0.25">
      <c r="F26" s="65"/>
      <c r="G26" s="65"/>
      <c r="H26" s="66"/>
      <c r="I26" s="66"/>
      <c r="J26" s="66"/>
      <c r="K26" s="66"/>
      <c r="L26" s="66"/>
      <c r="M26" s="66"/>
      <c r="N26" s="66"/>
      <c r="O26" s="66"/>
    </row>
    <row r="27" spans="6:21" ht="15.75" x14ac:dyDescent="0.25">
      <c r="F27" s="63"/>
      <c r="G27" s="63"/>
      <c r="H27" s="64"/>
      <c r="I27" s="64"/>
      <c r="J27" s="64"/>
      <c r="K27" s="64"/>
      <c r="L27" s="64"/>
      <c r="M27" s="64"/>
      <c r="N27" s="64"/>
      <c r="O27" s="64"/>
    </row>
    <row r="42" ht="15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6F92-1B97-4551-B7CA-97D9C543C9A6}">
  <sheetPr codeName="Planilha12">
    <tabColor rgb="FF92D050"/>
  </sheetPr>
  <dimension ref="A1:XFC141"/>
  <sheetViews>
    <sheetView zoomScaleNormal="100" workbookViewId="0">
      <selection activeCell="A12" sqref="A12:K14"/>
    </sheetView>
  </sheetViews>
  <sheetFormatPr defaultColWidth="0" defaultRowHeight="16.5" x14ac:dyDescent="0.35"/>
  <cols>
    <col min="1" max="10" width="9.140625" style="1" customWidth="1"/>
    <col min="11" max="11" width="7.140625" style="1" customWidth="1"/>
    <col min="12" max="16383" width="9.140625" style="1" hidden="1"/>
    <col min="16384" max="16384" width="22.28515625" style="1" hidden="1"/>
  </cols>
  <sheetData>
    <row r="1" spans="1:11" s="74" customFormat="1" ht="18.75" x14ac:dyDescent="0.4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</row>
    <row r="2" spans="1:11" s="74" customFormat="1" ht="18.75" x14ac:dyDescent="0.4">
      <c r="A2" s="49"/>
      <c r="B2" s="49"/>
      <c r="C2" s="49"/>
      <c r="D2" s="126" t="s">
        <v>10460</v>
      </c>
      <c r="E2" s="126"/>
      <c r="F2" s="126"/>
      <c r="G2" s="126"/>
      <c r="H2" s="126"/>
      <c r="I2" s="126"/>
      <c r="J2" s="126"/>
      <c r="K2" s="126"/>
    </row>
    <row r="3" spans="1:11" s="74" customFormat="1" ht="15" customHeight="1" x14ac:dyDescent="0.4">
      <c r="A3" s="49"/>
      <c r="B3" s="49"/>
      <c r="C3" s="49"/>
      <c r="D3" s="126"/>
      <c r="E3" s="126"/>
      <c r="F3" s="126"/>
      <c r="G3" s="126"/>
      <c r="H3" s="126"/>
      <c r="I3" s="126"/>
      <c r="J3" s="126"/>
      <c r="K3" s="126"/>
    </row>
    <row r="4" spans="1:11" s="74" customFormat="1" ht="15" customHeight="1" x14ac:dyDescent="0.4">
      <c r="A4" s="49"/>
      <c r="B4" s="49"/>
      <c r="C4" s="49"/>
      <c r="D4" s="114" t="s">
        <v>10461</v>
      </c>
      <c r="E4" s="114"/>
      <c r="F4" s="114"/>
      <c r="G4" s="114"/>
      <c r="H4" s="114"/>
      <c r="I4" s="114"/>
      <c r="J4" s="114"/>
      <c r="K4" s="114"/>
    </row>
    <row r="5" spans="1:11" s="74" customFormat="1" ht="18.75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</row>
    <row r="6" spans="1:11" s="74" customFormat="1" ht="18.75" x14ac:dyDescent="0.4">
      <c r="A6" s="49"/>
      <c r="B6" s="127" t="str">
        <f ca="1">_xlfn.CONCAT("Data: ",DAY(TODAY()),"/",MONTH(TODAY()),"/",YEAR(TODAY()))</f>
        <v>Data: 24/1/2023</v>
      </c>
      <c r="C6" s="127"/>
      <c r="D6" s="127"/>
      <c r="E6" s="127"/>
      <c r="F6" s="127"/>
      <c r="G6" s="127"/>
      <c r="H6" s="127"/>
      <c r="I6" s="127"/>
      <c r="J6" s="127"/>
      <c r="K6" s="73"/>
    </row>
    <row r="7" spans="1:11" x14ac:dyDescent="0.35">
      <c r="A7" s="75"/>
      <c r="B7" s="75"/>
      <c r="C7" s="75"/>
      <c r="D7" s="75"/>
      <c r="E7" s="75"/>
      <c r="F7" s="75"/>
      <c r="G7" s="75"/>
      <c r="H7" s="75"/>
      <c r="I7" s="75"/>
      <c r="J7" s="75"/>
      <c r="K7" s="75"/>
    </row>
    <row r="8" spans="1:11" ht="26.25" x14ac:dyDescent="0.55000000000000004">
      <c r="A8" s="77" t="s">
        <v>10539</v>
      </c>
      <c r="B8" s="75"/>
      <c r="C8" s="75"/>
      <c r="D8" s="75"/>
      <c r="E8" s="75"/>
      <c r="F8" s="75"/>
      <c r="G8" s="75"/>
      <c r="H8" s="75"/>
      <c r="I8" s="75"/>
      <c r="J8" s="75"/>
      <c r="K8" s="75"/>
    </row>
    <row r="9" spans="1:11" x14ac:dyDescent="0.35">
      <c r="A9" s="76"/>
      <c r="B9" s="75"/>
      <c r="C9" s="75"/>
      <c r="D9" s="75"/>
      <c r="E9" s="75"/>
      <c r="F9" s="75"/>
      <c r="G9" s="75"/>
      <c r="H9" s="75"/>
      <c r="I9" s="75"/>
      <c r="J9" s="75"/>
      <c r="K9" s="75"/>
    </row>
    <row r="10" spans="1:11" x14ac:dyDescent="0.35">
      <c r="A10" s="75" t="s">
        <v>10538</v>
      </c>
      <c r="B10" s="75" t="str">
        <f>'Banco de Dados'!I2</f>
        <v>Litoral Paranaense</v>
      </c>
      <c r="C10" s="75"/>
      <c r="D10" s="75"/>
      <c r="E10" s="75"/>
      <c r="F10" s="75"/>
      <c r="G10" s="75"/>
      <c r="H10" s="75"/>
      <c r="I10" s="75"/>
      <c r="J10" s="75"/>
      <c r="K10" s="75"/>
    </row>
    <row r="11" spans="1:11" x14ac:dyDescent="0.35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1" ht="16.5" customHeight="1" x14ac:dyDescent="0.35">
      <c r="A12" s="128">
        <v>1234</v>
      </c>
      <c r="B12" s="129"/>
      <c r="C12" s="129"/>
      <c r="D12" s="129"/>
      <c r="E12" s="129"/>
      <c r="F12" s="129"/>
      <c r="G12" s="129"/>
      <c r="H12" s="129"/>
      <c r="I12" s="129"/>
      <c r="J12" s="129"/>
      <c r="K12" s="130"/>
    </row>
    <row r="13" spans="1:11" x14ac:dyDescent="0.35">
      <c r="A13" s="131"/>
      <c r="B13" s="137"/>
      <c r="C13" s="137"/>
      <c r="D13" s="137"/>
      <c r="E13" s="137"/>
      <c r="F13" s="137"/>
      <c r="G13" s="137"/>
      <c r="H13" s="137"/>
      <c r="I13" s="137"/>
      <c r="J13" s="137"/>
      <c r="K13" s="133"/>
    </row>
    <row r="14" spans="1:11" x14ac:dyDescent="0.35">
      <c r="A14" s="134"/>
      <c r="B14" s="135"/>
      <c r="C14" s="135"/>
      <c r="D14" s="135"/>
      <c r="E14" s="135"/>
      <c r="F14" s="135"/>
      <c r="G14" s="135"/>
      <c r="H14" s="135"/>
      <c r="I14" s="135"/>
      <c r="J14" s="135"/>
      <c r="K14" s="136"/>
    </row>
    <row r="15" spans="1:11" x14ac:dyDescent="0.35">
      <c r="A15" s="106"/>
      <c r="B15" s="106"/>
      <c r="C15" s="106"/>
      <c r="D15" s="106"/>
      <c r="E15" s="106"/>
      <c r="F15" s="106"/>
      <c r="G15" s="106"/>
      <c r="H15" s="139"/>
      <c r="I15" s="140"/>
      <c r="J15" s="138"/>
      <c r="K15" s="108"/>
    </row>
    <row r="16" spans="1:11" x14ac:dyDescent="0.35">
      <c r="A16" s="106"/>
      <c r="B16" s="107"/>
      <c r="C16" s="107"/>
      <c r="D16" s="107"/>
      <c r="E16" s="107"/>
      <c r="F16" s="107"/>
      <c r="G16" s="107"/>
      <c r="H16" s="107"/>
      <c r="I16" s="107"/>
      <c r="J16" s="107"/>
      <c r="K16" s="108"/>
    </row>
    <row r="17" spans="1:11" x14ac:dyDescent="0.35">
      <c r="A17" s="106"/>
      <c r="B17" s="107"/>
      <c r="C17" s="107"/>
      <c r="D17" s="107"/>
      <c r="E17" s="107"/>
      <c r="F17" s="107"/>
      <c r="G17" s="107"/>
      <c r="H17" s="107"/>
      <c r="I17" s="107"/>
      <c r="J17" s="107"/>
      <c r="K17" s="108"/>
    </row>
    <row r="18" spans="1:11" x14ac:dyDescent="0.35">
      <c r="A18" s="106"/>
      <c r="B18" s="107"/>
      <c r="C18" s="107"/>
      <c r="D18" s="107"/>
      <c r="E18" s="107"/>
      <c r="F18" s="107"/>
      <c r="G18" s="107"/>
      <c r="H18" s="107"/>
      <c r="I18" s="109"/>
      <c r="J18" s="107"/>
      <c r="K18" s="108"/>
    </row>
    <row r="19" spans="1:11" x14ac:dyDescent="0.35">
      <c r="A19" s="106"/>
      <c r="B19" s="109"/>
      <c r="C19" s="109"/>
      <c r="D19" s="109"/>
      <c r="E19" s="109"/>
      <c r="F19" s="109"/>
      <c r="G19" s="109"/>
      <c r="H19" s="109"/>
      <c r="I19" s="109"/>
      <c r="J19" s="109"/>
      <c r="K19" s="110"/>
    </row>
    <row r="20" spans="1:11" x14ac:dyDescent="0.35">
      <c r="A20" s="106"/>
      <c r="B20" s="75"/>
      <c r="C20" s="75"/>
      <c r="D20" s="75"/>
      <c r="E20" s="75"/>
      <c r="F20" s="75"/>
      <c r="G20" s="75"/>
      <c r="H20" s="75"/>
      <c r="I20" s="75"/>
      <c r="J20" s="75"/>
      <c r="K20" s="75"/>
    </row>
    <row r="21" spans="1:11" ht="26.25" x14ac:dyDescent="0.55000000000000004">
      <c r="A21" s="77" t="s">
        <v>10540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</row>
    <row r="22" spans="1:11" x14ac:dyDescent="0.35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</row>
    <row r="23" spans="1:11" x14ac:dyDescent="0.35">
      <c r="A23" s="128">
        <v>22</v>
      </c>
      <c r="B23" s="129"/>
      <c r="C23" s="129"/>
      <c r="D23" s="129"/>
      <c r="E23" s="129"/>
      <c r="F23" s="129"/>
      <c r="G23" s="129"/>
      <c r="H23" s="129"/>
      <c r="I23" s="129"/>
      <c r="J23" s="129"/>
      <c r="K23" s="130"/>
    </row>
    <row r="24" spans="1:11" x14ac:dyDescent="0.35">
      <c r="A24" s="131"/>
      <c r="B24" s="132"/>
      <c r="C24" s="132"/>
      <c r="D24" s="132"/>
      <c r="E24" s="132"/>
      <c r="F24" s="132"/>
      <c r="G24" s="132"/>
      <c r="H24" s="132"/>
      <c r="I24" s="132"/>
      <c r="J24" s="132"/>
      <c r="K24" s="133"/>
    </row>
    <row r="25" spans="1:11" x14ac:dyDescent="0.35">
      <c r="A25" s="131"/>
      <c r="B25" s="132"/>
      <c r="C25" s="132"/>
      <c r="D25" s="132"/>
      <c r="E25" s="132"/>
      <c r="F25" s="132"/>
      <c r="G25" s="132"/>
      <c r="H25" s="132"/>
      <c r="I25" s="132"/>
      <c r="J25" s="132"/>
      <c r="K25" s="133"/>
    </row>
    <row r="26" spans="1:11" x14ac:dyDescent="0.35">
      <c r="A26" s="131"/>
      <c r="B26" s="132"/>
      <c r="C26" s="132"/>
      <c r="D26" s="132"/>
      <c r="E26" s="132"/>
      <c r="F26" s="132"/>
      <c r="G26" s="132"/>
      <c r="H26" s="132"/>
      <c r="I26" s="132"/>
      <c r="J26" s="132"/>
      <c r="K26" s="133"/>
    </row>
    <row r="27" spans="1:11" x14ac:dyDescent="0.35">
      <c r="A27" s="131"/>
      <c r="B27" s="132"/>
      <c r="C27" s="132"/>
      <c r="D27" s="132"/>
      <c r="E27" s="132"/>
      <c r="F27" s="132"/>
      <c r="G27" s="132"/>
      <c r="H27" s="132"/>
      <c r="I27" s="132"/>
      <c r="J27" s="132"/>
      <c r="K27" s="133"/>
    </row>
    <row r="28" spans="1:11" x14ac:dyDescent="0.35">
      <c r="A28" s="131"/>
      <c r="B28" s="132"/>
      <c r="C28" s="132"/>
      <c r="D28" s="132"/>
      <c r="E28" s="132"/>
      <c r="F28" s="132"/>
      <c r="G28" s="132"/>
      <c r="H28" s="132"/>
      <c r="I28" s="132"/>
      <c r="J28" s="132"/>
      <c r="K28" s="133"/>
    </row>
    <row r="29" spans="1:11" x14ac:dyDescent="0.35">
      <c r="A29" s="131"/>
      <c r="B29" s="132"/>
      <c r="C29" s="132"/>
      <c r="D29" s="132"/>
      <c r="E29" s="132"/>
      <c r="F29" s="132"/>
      <c r="G29" s="132"/>
      <c r="H29" s="132"/>
      <c r="I29" s="132"/>
      <c r="J29" s="132"/>
      <c r="K29" s="133"/>
    </row>
    <row r="30" spans="1:11" x14ac:dyDescent="0.35">
      <c r="A30" s="134"/>
      <c r="B30" s="135"/>
      <c r="C30" s="135"/>
      <c r="D30" s="135"/>
      <c r="E30" s="135"/>
      <c r="F30" s="135"/>
      <c r="G30" s="135"/>
      <c r="H30" s="135"/>
      <c r="I30" s="135"/>
      <c r="J30" s="135"/>
      <c r="K30" s="136"/>
    </row>
    <row r="31" spans="1:11" x14ac:dyDescent="0.35">
      <c r="A31" s="75"/>
      <c r="B31" s="103"/>
      <c r="C31" s="103"/>
      <c r="D31" s="103"/>
      <c r="E31" s="75"/>
      <c r="F31" s="75"/>
      <c r="G31" s="75"/>
      <c r="H31" s="75"/>
      <c r="I31" s="75"/>
      <c r="J31" s="75"/>
      <c r="K31" s="75"/>
    </row>
    <row r="32" spans="1:11" x14ac:dyDescent="0.35">
      <c r="A32" s="75"/>
      <c r="B32" s="102"/>
      <c r="C32" s="102"/>
      <c r="D32" s="75"/>
      <c r="E32" s="75"/>
      <c r="F32" s="75"/>
      <c r="G32" s="75"/>
      <c r="H32" s="75"/>
      <c r="I32" s="75"/>
      <c r="J32" s="75"/>
      <c r="K32" s="75"/>
    </row>
    <row r="33" spans="1:11" x14ac:dyDescent="0.35">
      <c r="A33" s="75"/>
      <c r="B33" s="75"/>
      <c r="C33" s="75"/>
      <c r="D33" s="75"/>
      <c r="E33" s="75"/>
      <c r="F33" s="75"/>
      <c r="G33" s="75"/>
      <c r="H33" s="75"/>
      <c r="I33" s="75"/>
      <c r="J33" s="75"/>
      <c r="K33" s="75"/>
    </row>
    <row r="34" spans="1:11" x14ac:dyDescent="0.35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</row>
    <row r="35" spans="1:11" x14ac:dyDescent="0.35">
      <c r="A35" s="75"/>
      <c r="B35" s="75"/>
      <c r="C35" s="75"/>
      <c r="D35" s="75"/>
      <c r="E35" s="75"/>
      <c r="F35" s="75"/>
      <c r="G35" s="75"/>
      <c r="H35" s="75"/>
      <c r="I35" s="75"/>
      <c r="J35" s="75"/>
      <c r="K35" s="75"/>
    </row>
    <row r="36" spans="1:11" x14ac:dyDescent="0.35">
      <c r="A36" s="75"/>
      <c r="B36" s="75"/>
      <c r="C36" s="75"/>
      <c r="D36" s="75"/>
      <c r="E36" s="75"/>
      <c r="F36" s="75"/>
      <c r="G36" s="75"/>
      <c r="H36" s="75"/>
      <c r="I36" s="75"/>
      <c r="J36" s="75"/>
      <c r="K36" s="75"/>
    </row>
    <row r="37" spans="1:11" x14ac:dyDescent="0.35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</row>
    <row r="38" spans="1:11" x14ac:dyDescent="0.35">
      <c r="A38" s="75"/>
      <c r="B38" s="75"/>
      <c r="C38" s="75"/>
      <c r="D38" s="75"/>
      <c r="E38" s="75"/>
      <c r="F38" s="75"/>
      <c r="G38" s="75"/>
      <c r="H38" s="75"/>
      <c r="I38" s="75"/>
      <c r="J38" s="75"/>
      <c r="K38" s="75"/>
    </row>
    <row r="39" spans="1:11" x14ac:dyDescent="0.35">
      <c r="A39" s="75"/>
      <c r="B39" s="75"/>
      <c r="C39" s="75"/>
      <c r="D39" s="75"/>
      <c r="E39" s="75"/>
      <c r="F39" s="75"/>
      <c r="G39" s="75"/>
      <c r="H39" s="75"/>
      <c r="I39" s="75"/>
      <c r="J39" s="75"/>
      <c r="K39" s="75"/>
    </row>
    <row r="40" spans="1:11" x14ac:dyDescent="0.35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</row>
    <row r="41" spans="1:11" ht="26.25" x14ac:dyDescent="0.55000000000000004">
      <c r="A41" s="77" t="s">
        <v>10544</v>
      </c>
      <c r="B41" s="75"/>
      <c r="C41" s="75"/>
      <c r="D41" s="75"/>
      <c r="E41" s="75"/>
      <c r="F41" s="75"/>
      <c r="G41" s="75"/>
      <c r="H41" s="75"/>
      <c r="I41" s="75"/>
      <c r="J41" s="75"/>
      <c r="K41" s="75"/>
    </row>
    <row r="42" spans="1:11" x14ac:dyDescent="0.35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</row>
    <row r="43" spans="1:11" x14ac:dyDescent="0.35">
      <c r="A43" s="128">
        <v>33</v>
      </c>
      <c r="B43" s="129"/>
      <c r="C43" s="129"/>
      <c r="D43" s="129"/>
      <c r="E43" s="129"/>
      <c r="F43" s="129"/>
      <c r="G43" s="129"/>
      <c r="H43" s="129"/>
      <c r="I43" s="129"/>
      <c r="J43" s="129"/>
      <c r="K43" s="130"/>
    </row>
    <row r="44" spans="1:11" x14ac:dyDescent="0.35">
      <c r="A44" s="131"/>
      <c r="B44" s="132"/>
      <c r="C44" s="132"/>
      <c r="D44" s="132"/>
      <c r="E44" s="132"/>
      <c r="F44" s="132"/>
      <c r="G44" s="132"/>
      <c r="H44" s="132"/>
      <c r="I44" s="132"/>
      <c r="J44" s="132"/>
      <c r="K44" s="133"/>
    </row>
    <row r="45" spans="1:11" x14ac:dyDescent="0.35">
      <c r="A45" s="131"/>
      <c r="B45" s="132"/>
      <c r="C45" s="132"/>
      <c r="D45" s="132"/>
      <c r="E45" s="132"/>
      <c r="F45" s="132"/>
      <c r="G45" s="132"/>
      <c r="H45" s="132"/>
      <c r="I45" s="132"/>
      <c r="J45" s="132"/>
      <c r="K45" s="133"/>
    </row>
    <row r="46" spans="1:11" x14ac:dyDescent="0.35">
      <c r="A46" s="131"/>
      <c r="B46" s="132"/>
      <c r="C46" s="132"/>
      <c r="D46" s="132"/>
      <c r="E46" s="132"/>
      <c r="F46" s="132"/>
      <c r="G46" s="132"/>
      <c r="H46" s="132"/>
      <c r="I46" s="132"/>
      <c r="J46" s="132"/>
      <c r="K46" s="133"/>
    </row>
    <row r="47" spans="1:11" x14ac:dyDescent="0.35">
      <c r="A47" s="131"/>
      <c r="B47" s="132"/>
      <c r="C47" s="132"/>
      <c r="D47" s="132"/>
      <c r="E47" s="132"/>
      <c r="F47" s="132"/>
      <c r="G47" s="132"/>
      <c r="H47" s="132"/>
      <c r="I47" s="132"/>
      <c r="J47" s="132"/>
      <c r="K47" s="133"/>
    </row>
    <row r="48" spans="1:11" x14ac:dyDescent="0.35">
      <c r="A48" s="131"/>
      <c r="B48" s="132"/>
      <c r="C48" s="132"/>
      <c r="D48" s="132"/>
      <c r="E48" s="132"/>
      <c r="F48" s="132"/>
      <c r="G48" s="132"/>
      <c r="H48" s="132"/>
      <c r="I48" s="132"/>
      <c r="J48" s="132"/>
      <c r="K48" s="133"/>
    </row>
    <row r="49" spans="1:11" x14ac:dyDescent="0.35">
      <c r="A49" s="131"/>
      <c r="B49" s="132"/>
      <c r="C49" s="132"/>
      <c r="D49" s="132"/>
      <c r="E49" s="132"/>
      <c r="F49" s="132"/>
      <c r="G49" s="132"/>
      <c r="H49" s="132"/>
      <c r="I49" s="132"/>
      <c r="J49" s="132"/>
      <c r="K49" s="133"/>
    </row>
    <row r="50" spans="1:11" x14ac:dyDescent="0.35">
      <c r="A50" s="134"/>
      <c r="B50" s="135"/>
      <c r="C50" s="135"/>
      <c r="D50" s="135"/>
      <c r="E50" s="135"/>
      <c r="F50" s="135"/>
      <c r="G50" s="135"/>
      <c r="H50" s="135"/>
      <c r="I50" s="135"/>
      <c r="J50" s="135"/>
      <c r="K50" s="136"/>
    </row>
    <row r="51" spans="1:11" x14ac:dyDescent="0.35">
      <c r="A51" s="75"/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1:11" x14ac:dyDescent="0.35">
      <c r="A52" s="75"/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1:11" x14ac:dyDescent="0.35">
      <c r="A53" s="75"/>
      <c r="B53" s="75"/>
      <c r="C53" s="75"/>
      <c r="D53" s="75"/>
      <c r="E53" s="75"/>
      <c r="F53" s="75"/>
      <c r="G53" s="75"/>
      <c r="H53" s="75"/>
      <c r="I53" s="75"/>
      <c r="J53" s="75"/>
      <c r="K53" s="75"/>
    </row>
    <row r="54" spans="1:11" x14ac:dyDescent="0.35">
      <c r="A54" s="75"/>
      <c r="B54" s="75"/>
      <c r="C54" s="75"/>
      <c r="D54" s="75"/>
      <c r="E54" s="75"/>
      <c r="F54" s="75"/>
      <c r="G54" s="75"/>
      <c r="H54" s="75"/>
      <c r="I54" s="75"/>
      <c r="J54" s="75"/>
      <c r="K54" s="75"/>
    </row>
    <row r="55" spans="1:11" x14ac:dyDescent="0.35">
      <c r="A55" s="75"/>
      <c r="B55" s="75"/>
      <c r="C55" s="75"/>
      <c r="D55" s="75"/>
      <c r="E55" s="75"/>
      <c r="F55" s="75"/>
      <c r="G55" s="75"/>
      <c r="H55" s="75"/>
      <c r="I55" s="75"/>
      <c r="J55" s="75"/>
      <c r="K55" s="75"/>
    </row>
    <row r="56" spans="1:11" x14ac:dyDescent="0.35">
      <c r="A56" s="75"/>
      <c r="B56" s="75"/>
      <c r="C56" s="75"/>
      <c r="D56" s="75"/>
      <c r="E56" s="75"/>
      <c r="F56" s="75"/>
      <c r="G56" s="75"/>
      <c r="H56" s="75"/>
      <c r="I56" s="75"/>
      <c r="J56" s="75"/>
      <c r="K56" s="75"/>
    </row>
    <row r="57" spans="1:11" x14ac:dyDescent="0.35">
      <c r="A57" s="75"/>
      <c r="B57" s="75"/>
      <c r="C57" s="75"/>
      <c r="D57" s="75"/>
      <c r="E57" s="75"/>
      <c r="F57" s="75"/>
      <c r="G57" s="75"/>
      <c r="H57" s="75"/>
      <c r="I57" s="75"/>
      <c r="J57" s="75"/>
      <c r="K57" s="75"/>
    </row>
    <row r="58" spans="1:11" x14ac:dyDescent="0.35">
      <c r="A58" s="75"/>
      <c r="B58" s="75"/>
      <c r="C58" s="75"/>
      <c r="D58" s="75"/>
      <c r="E58" s="75"/>
      <c r="F58" s="75"/>
      <c r="G58" s="75"/>
      <c r="H58" s="75"/>
      <c r="I58" s="75"/>
      <c r="J58" s="75"/>
      <c r="K58" s="75"/>
    </row>
    <row r="59" spans="1:11" x14ac:dyDescent="0.35">
      <c r="A59" s="75"/>
      <c r="B59" s="75"/>
      <c r="C59" s="75"/>
      <c r="D59" s="75"/>
      <c r="E59" s="75"/>
      <c r="F59" s="75"/>
      <c r="G59" s="75"/>
      <c r="H59" s="75"/>
      <c r="I59" s="75"/>
      <c r="J59" s="75"/>
      <c r="K59" s="75"/>
    </row>
    <row r="60" spans="1:11" x14ac:dyDescent="0.35">
      <c r="A60" s="75"/>
      <c r="B60" s="75"/>
      <c r="C60" s="75"/>
      <c r="D60" s="75"/>
      <c r="E60" s="75"/>
      <c r="F60" s="75"/>
      <c r="G60" s="75"/>
      <c r="H60" s="75"/>
      <c r="I60" s="75"/>
      <c r="J60" s="75"/>
      <c r="K60" s="75"/>
    </row>
    <row r="61" spans="1:11" ht="26.25" x14ac:dyDescent="0.55000000000000004">
      <c r="A61" s="77" t="s">
        <v>10541</v>
      </c>
      <c r="B61" s="75"/>
      <c r="C61" s="75"/>
      <c r="D61" s="75"/>
      <c r="E61" s="75"/>
      <c r="F61" s="75"/>
      <c r="G61" s="75"/>
      <c r="H61" s="75"/>
      <c r="I61" s="75"/>
      <c r="J61" s="75"/>
      <c r="K61" s="75"/>
    </row>
    <row r="62" spans="1:11" x14ac:dyDescent="0.35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</row>
    <row r="63" spans="1:11" x14ac:dyDescent="0.35">
      <c r="A63" s="128"/>
      <c r="B63" s="129"/>
      <c r="C63" s="129"/>
      <c r="D63" s="129"/>
      <c r="E63" s="129"/>
      <c r="F63" s="129"/>
      <c r="G63" s="129"/>
      <c r="H63" s="129"/>
      <c r="I63" s="129"/>
      <c r="J63" s="129"/>
      <c r="K63" s="130"/>
    </row>
    <row r="64" spans="1:11" x14ac:dyDescent="0.35">
      <c r="A64" s="131"/>
      <c r="B64" s="132"/>
      <c r="C64" s="132"/>
      <c r="D64" s="132"/>
      <c r="E64" s="132"/>
      <c r="F64" s="132"/>
      <c r="G64" s="132"/>
      <c r="H64" s="132"/>
      <c r="I64" s="132"/>
      <c r="J64" s="132"/>
      <c r="K64" s="133"/>
    </row>
    <row r="65" spans="1:11" x14ac:dyDescent="0.35">
      <c r="A65" s="131"/>
      <c r="B65" s="132"/>
      <c r="C65" s="132"/>
      <c r="D65" s="132"/>
      <c r="E65" s="132"/>
      <c r="F65" s="132"/>
      <c r="G65" s="132"/>
      <c r="H65" s="132"/>
      <c r="I65" s="132"/>
      <c r="J65" s="132"/>
      <c r="K65" s="133"/>
    </row>
    <row r="66" spans="1:11" x14ac:dyDescent="0.35">
      <c r="A66" s="131"/>
      <c r="B66" s="132"/>
      <c r="C66" s="132"/>
      <c r="D66" s="132"/>
      <c r="E66" s="132"/>
      <c r="F66" s="132"/>
      <c r="G66" s="132"/>
      <c r="H66" s="132"/>
      <c r="I66" s="132"/>
      <c r="J66" s="132"/>
      <c r="K66" s="133"/>
    </row>
    <row r="67" spans="1:11" x14ac:dyDescent="0.35">
      <c r="A67" s="131"/>
      <c r="B67" s="132"/>
      <c r="C67" s="132"/>
      <c r="D67" s="132"/>
      <c r="E67" s="132"/>
      <c r="F67" s="132"/>
      <c r="G67" s="132"/>
      <c r="H67" s="132"/>
      <c r="I67" s="132"/>
      <c r="J67" s="132"/>
      <c r="K67" s="133"/>
    </row>
    <row r="68" spans="1:11" x14ac:dyDescent="0.35">
      <c r="A68" s="131"/>
      <c r="B68" s="132"/>
      <c r="C68" s="132"/>
      <c r="D68" s="132"/>
      <c r="E68" s="132"/>
      <c r="F68" s="132"/>
      <c r="G68" s="132"/>
      <c r="H68" s="132"/>
      <c r="I68" s="132"/>
      <c r="J68" s="132"/>
      <c r="K68" s="133"/>
    </row>
    <row r="69" spans="1:11" x14ac:dyDescent="0.35">
      <c r="A69" s="131"/>
      <c r="B69" s="132"/>
      <c r="C69" s="132"/>
      <c r="D69" s="132"/>
      <c r="E69" s="132"/>
      <c r="F69" s="132"/>
      <c r="G69" s="132"/>
      <c r="H69" s="132"/>
      <c r="I69" s="132"/>
      <c r="J69" s="132"/>
      <c r="K69" s="133"/>
    </row>
    <row r="70" spans="1:11" x14ac:dyDescent="0.35">
      <c r="A70" s="134"/>
      <c r="B70" s="135"/>
      <c r="C70" s="135"/>
      <c r="D70" s="135"/>
      <c r="E70" s="135"/>
      <c r="F70" s="135"/>
      <c r="G70" s="135"/>
      <c r="H70" s="135"/>
      <c r="I70" s="135"/>
      <c r="J70" s="135"/>
      <c r="K70" s="136"/>
    </row>
    <row r="71" spans="1:11" x14ac:dyDescent="0.35">
      <c r="A71" s="75"/>
      <c r="B71" s="75"/>
      <c r="C71" s="75"/>
      <c r="D71" s="75"/>
      <c r="E71" s="75"/>
      <c r="F71" s="75"/>
      <c r="G71" s="75"/>
      <c r="H71" s="75"/>
      <c r="I71" s="75"/>
      <c r="J71" s="75"/>
      <c r="K71" s="75"/>
    </row>
    <row r="72" spans="1:11" x14ac:dyDescent="0.35">
      <c r="A72" s="75"/>
      <c r="B72" s="75"/>
      <c r="C72" s="75"/>
      <c r="D72" s="75"/>
      <c r="E72" s="75"/>
      <c r="F72" s="75"/>
      <c r="G72" s="75"/>
      <c r="H72" s="75"/>
      <c r="I72" s="75"/>
      <c r="J72" s="75"/>
      <c r="K72" s="75"/>
    </row>
    <row r="73" spans="1:11" x14ac:dyDescent="0.35">
      <c r="A73" s="75"/>
      <c r="B73" s="75"/>
      <c r="C73" s="75"/>
      <c r="D73" s="75"/>
      <c r="E73" s="75"/>
      <c r="F73" s="75"/>
      <c r="G73" s="75"/>
      <c r="H73" s="75"/>
      <c r="I73" s="75"/>
      <c r="J73" s="75"/>
      <c r="K73" s="75"/>
    </row>
    <row r="74" spans="1:11" x14ac:dyDescent="0.35">
      <c r="A74" s="75"/>
      <c r="B74" s="75"/>
      <c r="C74" s="75"/>
      <c r="D74" s="75"/>
      <c r="E74" s="75"/>
      <c r="F74" s="75"/>
      <c r="G74" s="75"/>
      <c r="H74" s="75"/>
      <c r="I74" s="75"/>
      <c r="J74" s="75"/>
      <c r="K74" s="75"/>
    </row>
    <row r="75" spans="1:11" x14ac:dyDescent="0.35">
      <c r="A75" s="75"/>
      <c r="B75" s="75"/>
      <c r="C75" s="75"/>
      <c r="D75" s="75"/>
      <c r="E75" s="75"/>
      <c r="F75" s="75"/>
      <c r="G75" s="75"/>
      <c r="H75" s="75"/>
      <c r="I75" s="75"/>
      <c r="J75" s="75"/>
      <c r="K75" s="75"/>
    </row>
    <row r="76" spans="1:11" x14ac:dyDescent="0.35">
      <c r="A76" s="75"/>
      <c r="B76" s="75"/>
      <c r="C76" s="75"/>
      <c r="D76" s="75"/>
      <c r="E76" s="75"/>
      <c r="F76" s="75"/>
      <c r="G76" s="75"/>
      <c r="H76" s="75"/>
      <c r="I76" s="75"/>
      <c r="J76" s="75"/>
      <c r="K76" s="75"/>
    </row>
    <row r="77" spans="1:11" x14ac:dyDescent="0.35">
      <c r="A77" s="75"/>
      <c r="B77" s="75"/>
      <c r="C77" s="75"/>
      <c r="D77" s="75"/>
      <c r="E77" s="75"/>
      <c r="F77" s="75"/>
      <c r="G77" s="75"/>
      <c r="H77" s="75"/>
      <c r="I77" s="75"/>
      <c r="J77" s="75"/>
      <c r="K77" s="75"/>
    </row>
    <row r="78" spans="1:11" x14ac:dyDescent="0.35">
      <c r="A78" s="75"/>
      <c r="B78" s="75"/>
      <c r="C78" s="75"/>
      <c r="D78" s="75"/>
      <c r="E78" s="75"/>
      <c r="F78" s="75"/>
      <c r="G78" s="75"/>
      <c r="H78" s="75"/>
      <c r="I78" s="75"/>
      <c r="J78" s="75"/>
      <c r="K78" s="75"/>
    </row>
    <row r="79" spans="1:11" x14ac:dyDescent="0.35">
      <c r="A79" s="75"/>
      <c r="B79" s="75"/>
      <c r="C79" s="75"/>
      <c r="D79" s="75"/>
      <c r="E79" s="75"/>
      <c r="F79" s="75"/>
      <c r="G79" s="75"/>
      <c r="H79" s="75"/>
      <c r="I79" s="75"/>
      <c r="J79" s="75"/>
      <c r="K79" s="75"/>
    </row>
    <row r="80" spans="1:11" x14ac:dyDescent="0.35">
      <c r="A80" s="75"/>
      <c r="B80" s="75"/>
      <c r="C80" s="75"/>
      <c r="D80" s="75"/>
      <c r="E80" s="75"/>
      <c r="F80" s="75"/>
      <c r="G80" s="75"/>
      <c r="H80" s="75"/>
      <c r="I80" s="75"/>
      <c r="J80" s="75"/>
      <c r="K80" s="75"/>
    </row>
    <row r="81" spans="1:11" ht="26.25" x14ac:dyDescent="0.55000000000000004">
      <c r="A81" s="77" t="s">
        <v>10542</v>
      </c>
      <c r="B81" s="75"/>
      <c r="C81" s="75"/>
      <c r="D81" s="75"/>
      <c r="E81" s="75"/>
      <c r="F81" s="75"/>
      <c r="G81" s="75"/>
      <c r="H81" s="75"/>
      <c r="I81" s="75"/>
      <c r="J81" s="75"/>
      <c r="K81" s="75"/>
    </row>
    <row r="82" spans="1:11" x14ac:dyDescent="0.35">
      <c r="A82" s="75"/>
      <c r="B82" s="75"/>
      <c r="C82" s="75"/>
      <c r="D82" s="75"/>
      <c r="E82" s="75"/>
      <c r="F82" s="75"/>
      <c r="G82" s="75"/>
      <c r="H82" s="75"/>
      <c r="I82" s="75"/>
      <c r="J82" s="75"/>
      <c r="K82" s="75"/>
    </row>
    <row r="83" spans="1:11" x14ac:dyDescent="0.35">
      <c r="A83" s="128" t="s">
        <v>10566</v>
      </c>
      <c r="B83" s="129"/>
      <c r="C83" s="129"/>
      <c r="D83" s="129"/>
      <c r="E83" s="129"/>
      <c r="F83" s="129"/>
      <c r="G83" s="129"/>
      <c r="H83" s="129"/>
      <c r="I83" s="129"/>
      <c r="J83" s="129"/>
      <c r="K83" s="130"/>
    </row>
    <row r="84" spans="1:11" x14ac:dyDescent="0.35">
      <c r="A84" s="131"/>
      <c r="B84" s="132"/>
      <c r="C84" s="132"/>
      <c r="D84" s="132"/>
      <c r="E84" s="132"/>
      <c r="F84" s="132"/>
      <c r="G84" s="132"/>
      <c r="H84" s="132"/>
      <c r="I84" s="132"/>
      <c r="J84" s="132"/>
      <c r="K84" s="133"/>
    </row>
    <row r="85" spans="1:11" x14ac:dyDescent="0.35">
      <c r="A85" s="131"/>
      <c r="B85" s="132"/>
      <c r="C85" s="132"/>
      <c r="D85" s="132"/>
      <c r="E85" s="132"/>
      <c r="F85" s="132"/>
      <c r="G85" s="132"/>
      <c r="H85" s="132"/>
      <c r="I85" s="132"/>
      <c r="J85" s="132"/>
      <c r="K85" s="133"/>
    </row>
    <row r="86" spans="1:11" x14ac:dyDescent="0.35">
      <c r="A86" s="131"/>
      <c r="B86" s="132"/>
      <c r="C86" s="132"/>
      <c r="D86" s="132"/>
      <c r="E86" s="132"/>
      <c r="F86" s="132"/>
      <c r="G86" s="132"/>
      <c r="H86" s="132"/>
      <c r="I86" s="132"/>
      <c r="J86" s="132"/>
      <c r="K86" s="133"/>
    </row>
    <row r="87" spans="1:11" x14ac:dyDescent="0.35">
      <c r="A87" s="131"/>
      <c r="B87" s="132"/>
      <c r="C87" s="132"/>
      <c r="D87" s="132"/>
      <c r="E87" s="132"/>
      <c r="F87" s="132"/>
      <c r="G87" s="132"/>
      <c r="H87" s="132"/>
      <c r="I87" s="132"/>
      <c r="J87" s="132"/>
      <c r="K87" s="133"/>
    </row>
    <row r="88" spans="1:11" x14ac:dyDescent="0.35">
      <c r="A88" s="131"/>
      <c r="B88" s="132"/>
      <c r="C88" s="132"/>
      <c r="D88" s="132"/>
      <c r="E88" s="132"/>
      <c r="F88" s="132"/>
      <c r="G88" s="132"/>
      <c r="H88" s="132"/>
      <c r="I88" s="132"/>
      <c r="J88" s="132"/>
      <c r="K88" s="133"/>
    </row>
    <row r="89" spans="1:11" x14ac:dyDescent="0.35">
      <c r="A89" s="131"/>
      <c r="B89" s="132"/>
      <c r="C89" s="132"/>
      <c r="D89" s="132"/>
      <c r="E89" s="132"/>
      <c r="F89" s="132"/>
      <c r="G89" s="132"/>
      <c r="H89" s="132"/>
      <c r="I89" s="132"/>
      <c r="J89" s="132"/>
      <c r="K89" s="133"/>
    </row>
    <row r="90" spans="1:11" x14ac:dyDescent="0.35">
      <c r="A90" s="134"/>
      <c r="B90" s="135"/>
      <c r="C90" s="135"/>
      <c r="D90" s="135"/>
      <c r="E90" s="135"/>
      <c r="F90" s="135"/>
      <c r="G90" s="135"/>
      <c r="H90" s="135"/>
      <c r="I90" s="135"/>
      <c r="J90" s="135"/>
      <c r="K90" s="136"/>
    </row>
    <row r="91" spans="1:11" x14ac:dyDescent="0.35">
      <c r="A91" s="75"/>
      <c r="B91" s="75"/>
      <c r="C91" s="75"/>
      <c r="D91" s="75"/>
      <c r="E91" s="75"/>
      <c r="F91" s="75"/>
      <c r="G91" s="75"/>
      <c r="H91" s="75"/>
      <c r="I91" s="75"/>
      <c r="J91" s="75"/>
      <c r="K91" s="75"/>
    </row>
    <row r="92" spans="1:11" x14ac:dyDescent="0.35">
      <c r="A92" s="75"/>
      <c r="B92" s="75"/>
      <c r="C92" s="75"/>
      <c r="D92" s="75"/>
      <c r="E92" s="75"/>
      <c r="F92" s="75"/>
      <c r="G92" s="75"/>
      <c r="H92" s="75"/>
      <c r="I92" s="75"/>
      <c r="J92" s="75"/>
      <c r="K92" s="75"/>
    </row>
    <row r="93" spans="1:11" x14ac:dyDescent="0.35">
      <c r="A93" s="75"/>
      <c r="B93" s="75"/>
      <c r="C93" s="75"/>
      <c r="D93" s="75"/>
      <c r="E93" s="75"/>
      <c r="F93" s="75"/>
      <c r="G93" s="75"/>
      <c r="H93" s="75"/>
      <c r="I93" s="75"/>
      <c r="J93" s="75"/>
      <c r="K93" s="75"/>
    </row>
    <row r="94" spans="1:11" x14ac:dyDescent="0.35">
      <c r="A94" s="75"/>
      <c r="B94" s="75"/>
      <c r="C94" s="75"/>
      <c r="D94" s="75"/>
      <c r="E94" s="75"/>
      <c r="F94" s="75"/>
      <c r="G94" s="75"/>
      <c r="H94" s="75"/>
      <c r="I94" s="75"/>
      <c r="J94" s="75"/>
      <c r="K94" s="75"/>
    </row>
    <row r="95" spans="1:11" x14ac:dyDescent="0.35">
      <c r="A95" s="75"/>
      <c r="B95" s="75"/>
      <c r="C95" s="75"/>
      <c r="D95" s="75"/>
      <c r="E95" s="75"/>
      <c r="F95" s="75"/>
      <c r="G95" s="75"/>
      <c r="H95" s="75"/>
      <c r="I95" s="75"/>
      <c r="J95" s="75"/>
      <c r="K95" s="75"/>
    </row>
    <row r="96" spans="1:11" x14ac:dyDescent="0.35">
      <c r="A96" s="75"/>
      <c r="B96" s="75"/>
      <c r="C96" s="75"/>
      <c r="D96" s="75"/>
      <c r="E96" s="75"/>
      <c r="F96" s="75"/>
      <c r="G96" s="75"/>
      <c r="H96" s="75"/>
      <c r="I96" s="75"/>
      <c r="J96" s="75"/>
      <c r="K96" s="75"/>
    </row>
    <row r="97" spans="1:11" x14ac:dyDescent="0.35">
      <c r="A97" s="75"/>
      <c r="B97" s="75"/>
      <c r="C97" s="75"/>
      <c r="D97" s="75"/>
      <c r="E97" s="75"/>
      <c r="F97" s="75"/>
      <c r="G97" s="75"/>
      <c r="H97" s="75"/>
      <c r="I97" s="75"/>
      <c r="J97" s="75"/>
      <c r="K97" s="75"/>
    </row>
    <row r="98" spans="1:11" x14ac:dyDescent="0.35">
      <c r="A98" s="75"/>
      <c r="B98" s="75"/>
      <c r="C98" s="75"/>
      <c r="D98" s="75"/>
      <c r="E98" s="75"/>
      <c r="F98" s="75"/>
      <c r="G98" s="75"/>
      <c r="H98" s="75"/>
      <c r="I98" s="75"/>
      <c r="J98" s="75"/>
      <c r="K98" s="75"/>
    </row>
    <row r="99" spans="1:11" x14ac:dyDescent="0.35">
      <c r="A99" s="75"/>
      <c r="B99" s="75"/>
      <c r="C99" s="75"/>
      <c r="D99" s="75"/>
      <c r="E99" s="75"/>
      <c r="F99" s="75"/>
      <c r="G99" s="75"/>
      <c r="H99" s="75"/>
      <c r="I99" s="75"/>
      <c r="J99" s="75"/>
      <c r="K99" s="75"/>
    </row>
    <row r="100" spans="1:11" x14ac:dyDescent="0.35">
      <c r="A100" s="75"/>
      <c r="B100" s="75"/>
      <c r="C100" s="75"/>
      <c r="D100" s="75"/>
      <c r="E100" s="75"/>
      <c r="F100" s="75"/>
      <c r="G100" s="75"/>
      <c r="H100" s="75"/>
      <c r="I100" s="75"/>
      <c r="J100" s="75"/>
      <c r="K100" s="75"/>
    </row>
    <row r="101" spans="1:11" ht="26.25" x14ac:dyDescent="0.55000000000000004">
      <c r="A101" s="77" t="s">
        <v>10543</v>
      </c>
      <c r="B101" s="75"/>
      <c r="C101" s="75"/>
      <c r="D101" s="75"/>
      <c r="E101" s="75"/>
      <c r="F101" s="75"/>
      <c r="G101" s="75"/>
      <c r="H101" s="75"/>
      <c r="I101" s="75"/>
      <c r="J101" s="75"/>
      <c r="K101" s="75"/>
    </row>
    <row r="102" spans="1:11" x14ac:dyDescent="0.35">
      <c r="A102" s="75"/>
      <c r="B102" s="75"/>
      <c r="C102" s="75"/>
      <c r="D102" s="75"/>
      <c r="E102" s="75"/>
      <c r="F102" s="75"/>
      <c r="G102" s="75"/>
      <c r="H102" s="75"/>
      <c r="I102" s="75"/>
      <c r="J102" s="75"/>
      <c r="K102" s="75"/>
    </row>
    <row r="103" spans="1:11" x14ac:dyDescent="0.35">
      <c r="A103" s="128">
        <v>66</v>
      </c>
      <c r="B103" s="129"/>
      <c r="C103" s="129"/>
      <c r="D103" s="129"/>
      <c r="E103" s="129"/>
      <c r="F103" s="129"/>
      <c r="G103" s="129"/>
      <c r="H103" s="129"/>
      <c r="I103" s="129"/>
      <c r="J103" s="129"/>
      <c r="K103" s="130"/>
    </row>
    <row r="104" spans="1:11" x14ac:dyDescent="0.35">
      <c r="A104" s="131"/>
      <c r="B104" s="132"/>
      <c r="C104" s="132"/>
      <c r="D104" s="132"/>
      <c r="E104" s="132"/>
      <c r="F104" s="132"/>
      <c r="G104" s="132"/>
      <c r="H104" s="132"/>
      <c r="I104" s="132"/>
      <c r="J104" s="132"/>
      <c r="K104" s="133"/>
    </row>
    <row r="105" spans="1:11" x14ac:dyDescent="0.35">
      <c r="A105" s="131"/>
      <c r="B105" s="132"/>
      <c r="C105" s="132"/>
      <c r="D105" s="132"/>
      <c r="E105" s="132"/>
      <c r="F105" s="132"/>
      <c r="G105" s="132"/>
      <c r="H105" s="132"/>
      <c r="I105" s="132"/>
      <c r="J105" s="132"/>
      <c r="K105" s="133"/>
    </row>
    <row r="106" spans="1:11" x14ac:dyDescent="0.35">
      <c r="A106" s="131"/>
      <c r="B106" s="132"/>
      <c r="C106" s="132"/>
      <c r="D106" s="132"/>
      <c r="E106" s="132"/>
      <c r="F106" s="132"/>
      <c r="G106" s="132"/>
      <c r="H106" s="132"/>
      <c r="I106" s="132"/>
      <c r="J106" s="132"/>
      <c r="K106" s="133"/>
    </row>
    <row r="107" spans="1:11" x14ac:dyDescent="0.35">
      <c r="A107" s="131"/>
      <c r="B107" s="132"/>
      <c r="C107" s="132"/>
      <c r="D107" s="132"/>
      <c r="E107" s="132"/>
      <c r="F107" s="132"/>
      <c r="G107" s="132"/>
      <c r="H107" s="132"/>
      <c r="I107" s="132"/>
      <c r="J107" s="132"/>
      <c r="K107" s="133"/>
    </row>
    <row r="108" spans="1:11" x14ac:dyDescent="0.35">
      <c r="A108" s="131"/>
      <c r="B108" s="132"/>
      <c r="C108" s="132"/>
      <c r="D108" s="132"/>
      <c r="E108" s="132"/>
      <c r="F108" s="132"/>
      <c r="G108" s="132"/>
      <c r="H108" s="132"/>
      <c r="I108" s="132"/>
      <c r="J108" s="132"/>
      <c r="K108" s="133"/>
    </row>
    <row r="109" spans="1:11" x14ac:dyDescent="0.35">
      <c r="A109" s="131"/>
      <c r="B109" s="132"/>
      <c r="C109" s="132"/>
      <c r="D109" s="132"/>
      <c r="E109" s="132"/>
      <c r="F109" s="132"/>
      <c r="G109" s="132"/>
      <c r="H109" s="132"/>
      <c r="I109" s="132"/>
      <c r="J109" s="132"/>
      <c r="K109" s="133"/>
    </row>
    <row r="110" spans="1:11" x14ac:dyDescent="0.35">
      <c r="A110" s="134"/>
      <c r="B110" s="135"/>
      <c r="C110" s="135"/>
      <c r="D110" s="135"/>
      <c r="E110" s="135"/>
      <c r="F110" s="135"/>
      <c r="G110" s="135"/>
      <c r="H110" s="135"/>
      <c r="I110" s="135"/>
      <c r="J110" s="135"/>
      <c r="K110" s="136"/>
    </row>
    <row r="111" spans="1:11" x14ac:dyDescent="0.35">
      <c r="A111" s="75"/>
      <c r="B111" s="75"/>
      <c r="C111" s="75"/>
      <c r="D111" s="75"/>
      <c r="E111" s="75"/>
      <c r="F111" s="75"/>
      <c r="G111" s="75"/>
      <c r="H111" s="75"/>
      <c r="I111" s="75"/>
      <c r="J111" s="75"/>
      <c r="K111" s="75"/>
    </row>
    <row r="112" spans="1:11" x14ac:dyDescent="0.35">
      <c r="A112" s="75"/>
      <c r="B112" s="75"/>
      <c r="C112" s="75"/>
      <c r="D112" s="75"/>
      <c r="E112" s="75"/>
      <c r="F112" s="75"/>
      <c r="G112" s="75"/>
      <c r="H112" s="75"/>
      <c r="I112" s="75"/>
      <c r="J112" s="75"/>
      <c r="K112" s="75"/>
    </row>
    <row r="113" spans="1:11" x14ac:dyDescent="0.35">
      <c r="A113" s="75"/>
      <c r="B113" s="75"/>
      <c r="C113" s="75"/>
      <c r="D113" s="75"/>
      <c r="E113" s="75"/>
      <c r="F113" s="75"/>
      <c r="G113" s="75"/>
      <c r="H113" s="75"/>
      <c r="I113" s="75"/>
      <c r="J113" s="75"/>
      <c r="K113" s="75"/>
    </row>
    <row r="114" spans="1:11" x14ac:dyDescent="0.35">
      <c r="A114" s="75"/>
      <c r="B114" s="75"/>
      <c r="C114" s="75"/>
      <c r="D114" s="75"/>
      <c r="E114" s="75"/>
      <c r="F114" s="75"/>
      <c r="G114" s="75"/>
      <c r="H114" s="75"/>
      <c r="I114" s="75"/>
      <c r="J114" s="75"/>
      <c r="K114" s="75"/>
    </row>
    <row r="115" spans="1:11" x14ac:dyDescent="0.35">
      <c r="A115" s="75"/>
      <c r="B115" s="75"/>
      <c r="C115" s="75"/>
      <c r="D115" s="75"/>
      <c r="E115" s="75"/>
      <c r="F115" s="75"/>
      <c r="G115" s="75"/>
      <c r="H115" s="75"/>
      <c r="I115" s="75"/>
      <c r="J115" s="75"/>
      <c r="K115" s="75"/>
    </row>
    <row r="116" spans="1:11" x14ac:dyDescent="0.35">
      <c r="A116" s="75"/>
      <c r="B116" s="75"/>
      <c r="C116" s="75"/>
      <c r="D116" s="75"/>
      <c r="E116" s="75"/>
      <c r="F116" s="75"/>
      <c r="G116" s="75"/>
      <c r="H116" s="75"/>
      <c r="I116" s="75"/>
      <c r="J116" s="75"/>
      <c r="K116" s="75"/>
    </row>
    <row r="117" spans="1:11" x14ac:dyDescent="0.35">
      <c r="A117" s="75"/>
      <c r="B117" s="75"/>
      <c r="C117" s="75"/>
      <c r="D117" s="75"/>
      <c r="E117" s="75"/>
      <c r="F117" s="75"/>
      <c r="G117" s="75"/>
      <c r="H117" s="75"/>
      <c r="I117" s="75"/>
      <c r="J117" s="75"/>
      <c r="K117" s="75"/>
    </row>
    <row r="118" spans="1:11" x14ac:dyDescent="0.35">
      <c r="A118" s="75"/>
      <c r="B118" s="75"/>
      <c r="C118" s="75"/>
      <c r="D118" s="75"/>
      <c r="E118" s="75"/>
      <c r="F118" s="75"/>
      <c r="G118" s="75"/>
      <c r="H118" s="75"/>
      <c r="I118" s="75"/>
      <c r="J118" s="75"/>
      <c r="K118" s="75"/>
    </row>
    <row r="119" spans="1:11" x14ac:dyDescent="0.35">
      <c r="A119" s="75"/>
      <c r="B119" s="75"/>
      <c r="C119" s="75"/>
      <c r="D119" s="75"/>
      <c r="E119" s="75"/>
      <c r="F119" s="75"/>
      <c r="G119" s="75"/>
      <c r="H119" s="75"/>
      <c r="I119" s="75"/>
      <c r="J119" s="75"/>
      <c r="K119" s="75"/>
    </row>
    <row r="120" spans="1:11" x14ac:dyDescent="0.35">
      <c r="A120" s="75"/>
      <c r="B120" s="75"/>
      <c r="C120" s="75"/>
      <c r="D120" s="75"/>
      <c r="E120" s="75"/>
      <c r="F120" s="75"/>
      <c r="G120" s="75"/>
      <c r="H120" s="75"/>
      <c r="I120" s="75"/>
      <c r="J120" s="75"/>
      <c r="K120" s="75"/>
    </row>
    <row r="121" spans="1:11" ht="26.25" x14ac:dyDescent="0.55000000000000004">
      <c r="A121" s="77" t="s">
        <v>10545</v>
      </c>
      <c r="B121" s="75"/>
      <c r="C121" s="75"/>
      <c r="D121" s="75"/>
      <c r="E121" s="75"/>
      <c r="F121" s="75"/>
      <c r="G121" s="75"/>
      <c r="H121" s="75"/>
      <c r="I121" s="75"/>
      <c r="J121" s="75"/>
      <c r="K121" s="75"/>
    </row>
    <row r="122" spans="1:11" x14ac:dyDescent="0.35">
      <c r="A122" s="75"/>
      <c r="B122" s="75"/>
      <c r="C122" s="75"/>
      <c r="D122" s="75"/>
      <c r="E122" s="75"/>
      <c r="F122" s="75"/>
      <c r="G122" s="75"/>
      <c r="H122" s="75"/>
      <c r="I122" s="75"/>
      <c r="J122" s="75"/>
      <c r="K122" s="75"/>
    </row>
    <row r="123" spans="1:11" x14ac:dyDescent="0.35">
      <c r="A123" s="128">
        <v>77</v>
      </c>
      <c r="B123" s="129"/>
      <c r="C123" s="129"/>
      <c r="D123" s="129"/>
      <c r="E123" s="129"/>
      <c r="F123" s="129"/>
      <c r="G123" s="129"/>
      <c r="H123" s="129"/>
      <c r="I123" s="129"/>
      <c r="J123" s="129"/>
      <c r="K123" s="130"/>
    </row>
    <row r="124" spans="1:11" x14ac:dyDescent="0.35">
      <c r="A124" s="131"/>
      <c r="B124" s="132"/>
      <c r="C124" s="132"/>
      <c r="D124" s="132"/>
      <c r="E124" s="132"/>
      <c r="F124" s="132"/>
      <c r="G124" s="132"/>
      <c r="H124" s="132"/>
      <c r="I124" s="132"/>
      <c r="J124" s="132"/>
      <c r="K124" s="133"/>
    </row>
    <row r="125" spans="1:11" x14ac:dyDescent="0.35">
      <c r="A125" s="131"/>
      <c r="B125" s="132"/>
      <c r="C125" s="132"/>
      <c r="D125" s="132"/>
      <c r="E125" s="132"/>
      <c r="F125" s="132"/>
      <c r="G125" s="132"/>
      <c r="H125" s="132"/>
      <c r="I125" s="132"/>
      <c r="J125" s="132"/>
      <c r="K125" s="133"/>
    </row>
    <row r="126" spans="1:11" x14ac:dyDescent="0.35">
      <c r="A126" s="131"/>
      <c r="B126" s="132"/>
      <c r="C126" s="132"/>
      <c r="D126" s="132"/>
      <c r="E126" s="132"/>
      <c r="F126" s="132"/>
      <c r="G126" s="132"/>
      <c r="H126" s="132"/>
      <c r="I126" s="132"/>
      <c r="J126" s="132"/>
      <c r="K126" s="133"/>
    </row>
    <row r="127" spans="1:11" x14ac:dyDescent="0.35">
      <c r="A127" s="131"/>
      <c r="B127" s="132"/>
      <c r="C127" s="132"/>
      <c r="D127" s="132"/>
      <c r="E127" s="132"/>
      <c r="F127" s="132"/>
      <c r="G127" s="132"/>
      <c r="H127" s="132"/>
      <c r="I127" s="132"/>
      <c r="J127" s="132"/>
      <c r="K127" s="133"/>
    </row>
    <row r="128" spans="1:11" x14ac:dyDescent="0.35">
      <c r="A128" s="131"/>
      <c r="B128" s="132"/>
      <c r="C128" s="132"/>
      <c r="D128" s="132"/>
      <c r="E128" s="132"/>
      <c r="F128" s="132"/>
      <c r="G128" s="132"/>
      <c r="H128" s="132"/>
      <c r="I128" s="132"/>
      <c r="J128" s="132"/>
      <c r="K128" s="133"/>
    </row>
    <row r="129" spans="1:11" x14ac:dyDescent="0.35">
      <c r="A129" s="131"/>
      <c r="B129" s="132"/>
      <c r="C129" s="132"/>
      <c r="D129" s="132"/>
      <c r="E129" s="132"/>
      <c r="F129" s="132"/>
      <c r="G129" s="132"/>
      <c r="H129" s="132"/>
      <c r="I129" s="132"/>
      <c r="J129" s="132"/>
      <c r="K129" s="133"/>
    </row>
    <row r="130" spans="1:11" x14ac:dyDescent="0.35">
      <c r="A130" s="134"/>
      <c r="B130" s="135"/>
      <c r="C130" s="135"/>
      <c r="D130" s="135"/>
      <c r="E130" s="135"/>
      <c r="F130" s="135"/>
      <c r="G130" s="135"/>
      <c r="H130" s="135"/>
      <c r="I130" s="135"/>
      <c r="J130" s="135"/>
      <c r="K130" s="136"/>
    </row>
    <row r="131" spans="1:11" x14ac:dyDescent="0.35">
      <c r="A131" s="75"/>
      <c r="B131" s="75"/>
      <c r="C131" s="75"/>
      <c r="D131" s="75"/>
      <c r="E131" s="75"/>
      <c r="F131" s="75"/>
      <c r="G131" s="75"/>
      <c r="H131" s="75"/>
      <c r="I131" s="75"/>
      <c r="J131" s="75"/>
      <c r="K131" s="75"/>
    </row>
    <row r="132" spans="1:11" x14ac:dyDescent="0.35">
      <c r="A132" s="75"/>
      <c r="B132" s="75"/>
      <c r="C132" s="75"/>
      <c r="D132" s="75"/>
      <c r="E132" s="75"/>
      <c r="F132" s="75"/>
      <c r="G132" s="75"/>
      <c r="H132" s="75"/>
      <c r="I132" s="75"/>
      <c r="J132" s="75"/>
      <c r="K132" s="75"/>
    </row>
    <row r="133" spans="1:11" x14ac:dyDescent="0.35">
      <c r="A133" s="75"/>
      <c r="B133" s="75"/>
      <c r="C133" s="75"/>
      <c r="D133" s="75"/>
      <c r="E133" s="75"/>
      <c r="F133" s="75"/>
      <c r="G133" s="75"/>
      <c r="H133" s="75"/>
      <c r="I133" s="75"/>
      <c r="J133" s="75"/>
      <c r="K133" s="75"/>
    </row>
    <row r="134" spans="1:11" x14ac:dyDescent="0.35">
      <c r="A134" s="75"/>
      <c r="B134" s="75"/>
      <c r="C134" s="75"/>
      <c r="D134" s="75"/>
      <c r="E134" s="75"/>
      <c r="F134" s="75"/>
      <c r="G134" s="75"/>
      <c r="H134" s="75"/>
      <c r="I134" s="75"/>
      <c r="J134" s="75"/>
      <c r="K134" s="75"/>
    </row>
    <row r="135" spans="1:11" x14ac:dyDescent="0.35">
      <c r="A135" s="75"/>
      <c r="B135" s="75"/>
      <c r="C135" s="75"/>
      <c r="D135" s="75"/>
      <c r="E135" s="75"/>
      <c r="F135" s="75"/>
      <c r="G135" s="75"/>
      <c r="H135" s="75"/>
      <c r="I135" s="75"/>
      <c r="J135" s="75"/>
      <c r="K135" s="75"/>
    </row>
    <row r="136" spans="1:11" x14ac:dyDescent="0.35">
      <c r="A136" s="75"/>
      <c r="B136" s="75"/>
      <c r="C136" s="75"/>
      <c r="D136" s="75"/>
      <c r="E136" s="75"/>
      <c r="F136" s="75"/>
      <c r="G136" s="75"/>
      <c r="H136" s="75"/>
      <c r="I136" s="75"/>
      <c r="J136" s="75"/>
      <c r="K136" s="75"/>
    </row>
    <row r="137" spans="1:11" x14ac:dyDescent="0.35">
      <c r="A137" s="75"/>
      <c r="B137" s="75"/>
      <c r="C137" s="75"/>
      <c r="D137" s="75"/>
      <c r="E137" s="75"/>
      <c r="F137" s="75"/>
      <c r="G137" s="75"/>
      <c r="H137" s="75"/>
      <c r="I137" s="75"/>
      <c r="J137" s="75"/>
      <c r="K137" s="75"/>
    </row>
    <row r="138" spans="1:11" x14ac:dyDescent="0.35">
      <c r="A138" s="75"/>
      <c r="B138" s="75"/>
      <c r="C138" s="75"/>
      <c r="D138" s="75"/>
      <c r="E138" s="75"/>
      <c r="F138" s="75"/>
      <c r="G138" s="75"/>
      <c r="H138" s="75"/>
      <c r="I138" s="75"/>
      <c r="J138" s="75"/>
      <c r="K138" s="75"/>
    </row>
    <row r="139" spans="1:11" x14ac:dyDescent="0.35">
      <c r="A139" s="75"/>
      <c r="B139" s="75"/>
      <c r="C139" s="75"/>
      <c r="D139" s="75"/>
      <c r="E139" s="75"/>
      <c r="F139" s="75"/>
      <c r="G139" s="75"/>
      <c r="H139" s="75"/>
      <c r="I139" s="75"/>
      <c r="J139" s="75"/>
      <c r="K139" s="75"/>
    </row>
    <row r="140" spans="1:11" x14ac:dyDescent="0.35">
      <c r="A140" s="75"/>
      <c r="B140" s="75"/>
      <c r="C140" s="75"/>
      <c r="D140" s="75"/>
      <c r="E140" s="75"/>
      <c r="F140" s="75"/>
      <c r="G140" s="75"/>
      <c r="H140" s="75"/>
      <c r="I140" s="75"/>
      <c r="J140" s="75"/>
      <c r="K140" s="75"/>
    </row>
    <row r="141" spans="1:11" x14ac:dyDescent="0.35">
      <c r="A141" s="75"/>
      <c r="B141" s="75"/>
      <c r="C141" s="75"/>
      <c r="D141" s="75"/>
      <c r="E141" s="75"/>
      <c r="F141" s="75"/>
      <c r="G141" s="75"/>
      <c r="H141" s="75"/>
      <c r="I141" s="75"/>
      <c r="J141" s="75"/>
      <c r="K141" s="75"/>
    </row>
  </sheetData>
  <mergeCells count="10">
    <mergeCell ref="D2:K3"/>
    <mergeCell ref="D4:K4"/>
    <mergeCell ref="B6:J6"/>
    <mergeCell ref="A123:K130"/>
    <mergeCell ref="A23:K30"/>
    <mergeCell ref="A43:K50"/>
    <mergeCell ref="A63:K70"/>
    <mergeCell ref="A83:K90"/>
    <mergeCell ref="A103:K110"/>
    <mergeCell ref="A12:K14"/>
  </mergeCells>
  <pageMargins left="0.19685039370078741" right="0.19685039370078741" top="0" bottom="0.74803149606299213" header="0.31496062992125984" footer="0.31496062992125984"/>
  <pageSetup paperSize="9" orientation="portrait" horizontalDpi="300" verticalDpi="300" r:id="rId1"/>
  <headerFooter differentFirst="1"/>
  <rowBreaks count="6" manualBreakCount="6">
    <brk id="20" max="16383" man="1"/>
    <brk id="40" max="16383" man="1"/>
    <brk id="60" max="16383" man="1"/>
    <brk id="80" max="16383" man="1"/>
    <brk id="100" max="16383" man="1"/>
    <brk id="120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4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5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6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Relatório</vt:lpstr>
      <vt:lpstr>Relatório!Area_de_impressao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cp:lastPrinted>2022-12-15T23:31:48Z</cp:lastPrinted>
  <dcterms:created xsi:type="dcterms:W3CDTF">2022-05-11T01:44:06Z</dcterms:created>
  <dcterms:modified xsi:type="dcterms:W3CDTF">2023-01-25T03:12:59Z</dcterms:modified>
</cp:coreProperties>
</file>